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lwia\Desktop\SPRAWOZDANIA\Sprawozdanie za 2022 rok\"/>
    </mc:Choice>
  </mc:AlternateContent>
  <bookViews>
    <workbookView xWindow="0" yWindow="0" windowWidth="23040" windowHeight="9405" tabRatio="667" activeTab="11"/>
  </bookViews>
  <sheets>
    <sheet name="Zał. Nr 1" sheetId="14" r:id="rId1"/>
    <sheet name="Zał. Nr 2" sheetId="15" r:id="rId2"/>
    <sheet name="Zał. Nr 2a" sheetId="16" r:id="rId3"/>
    <sheet name="Zał. Nr 2b" sheetId="17" r:id="rId4"/>
    <sheet name="Zał. Nr 3" sheetId="3" r:id="rId5"/>
    <sheet name="Zał. Nr 4" sheetId="18" r:id="rId6"/>
    <sheet name="Zał. Nr 5" sheetId="5" r:id="rId7"/>
    <sheet name="Zał. Nr 6" sheetId="6" r:id="rId8"/>
    <sheet name="Zał. Nr 7" sheetId="7" r:id="rId9"/>
    <sheet name="Zał. Nr 8" sheetId="19" r:id="rId10"/>
    <sheet name="Zał. Nr 9" sheetId="21" r:id="rId11"/>
    <sheet name="Zał. Nr 10" sheetId="22" r:id="rId12"/>
  </sheets>
  <definedNames>
    <definedName name="_xlnm._FilterDatabase" localSheetId="0" hidden="1">'Zał. Nr 1'!$A$8:$Q$8</definedName>
    <definedName name="_xlnm._FilterDatabase" localSheetId="1" hidden="1">'Zał. Nr 2'!$A$3:$L$104</definedName>
    <definedName name="_xlnm._FilterDatabase" localSheetId="2" hidden="1">'Zał. Nr 2a'!$A$6:$O$6</definedName>
    <definedName name="_xlnm.Print_Area" localSheetId="0">'Zał. Nr 1'!$A$1:$O$112</definedName>
    <definedName name="_xlnm.Print_Area" localSheetId="11">'Zał. Nr 10'!$A$1:$I$59</definedName>
    <definedName name="_xlnm.Print_Area" localSheetId="1">'Zał. Nr 2'!$A$1:$L$104</definedName>
    <definedName name="_xlnm.Print_Area" localSheetId="7">'Zał. Nr 6'!$A$1:$G$37</definedName>
    <definedName name="_xlnm.Print_Area" localSheetId="8">'Zał. Nr 7'!$A$1:$F$18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22" l="1"/>
  <c r="I57" i="22"/>
  <c r="I56" i="22"/>
  <c r="I55" i="22"/>
  <c r="H54" i="22"/>
  <c r="I54" i="22" s="1"/>
  <c r="G54" i="22"/>
  <c r="G58" i="22" s="1"/>
  <c r="F54" i="22"/>
  <c r="F58" i="22" s="1"/>
  <c r="I53" i="22"/>
  <c r="H45" i="22"/>
  <c r="I45" i="22" s="1"/>
  <c r="G45" i="22"/>
  <c r="F45" i="22"/>
  <c r="I44" i="22"/>
  <c r="I43" i="22"/>
  <c r="I42" i="22"/>
  <c r="I41" i="22"/>
  <c r="I40" i="22"/>
  <c r="G29" i="22"/>
  <c r="F29" i="22"/>
  <c r="E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2" i="22"/>
  <c r="G11" i="22"/>
  <c r="G10" i="22"/>
  <c r="I58" i="22" l="1"/>
  <c r="D10" i="21" l="1"/>
  <c r="D9" i="21"/>
  <c r="D8" i="21"/>
  <c r="L100" i="15" l="1"/>
  <c r="H58" i="14" l="1"/>
  <c r="E58" i="14"/>
  <c r="H15" i="18" l="1"/>
  <c r="I89" i="15"/>
  <c r="F55" i="15"/>
  <c r="G35" i="17" l="1"/>
  <c r="E35" i="17"/>
  <c r="D35" i="17"/>
  <c r="G26" i="17"/>
  <c r="G25" i="17"/>
  <c r="F26" i="17"/>
  <c r="E26" i="17"/>
  <c r="D26" i="17"/>
  <c r="F25" i="17"/>
  <c r="I61" i="15" l="1"/>
  <c r="F61" i="15"/>
  <c r="L45" i="15"/>
  <c r="L39" i="15"/>
  <c r="L35" i="15"/>
  <c r="F22" i="15"/>
  <c r="L6" i="15"/>
  <c r="D51" i="14" l="1"/>
  <c r="C51" i="14"/>
  <c r="G18" i="5" l="1"/>
  <c r="J25" i="19" l="1"/>
  <c r="H25" i="19"/>
  <c r="H10" i="19"/>
  <c r="E10" i="19"/>
  <c r="H7" i="21"/>
  <c r="G7" i="21"/>
  <c r="E7" i="21"/>
  <c r="D7" i="21"/>
  <c r="E25" i="19" l="1"/>
  <c r="F25" i="19" s="1"/>
  <c r="E23" i="19"/>
  <c r="F22" i="19"/>
  <c r="F21" i="19"/>
  <c r="D25" i="19"/>
  <c r="E11" i="21" l="1"/>
  <c r="J8" i="21"/>
  <c r="H11" i="21"/>
  <c r="G11" i="21"/>
  <c r="F20" i="6"/>
  <c r="F16" i="6" s="1"/>
  <c r="F29" i="6"/>
  <c r="E29" i="6"/>
  <c r="E16" i="6"/>
  <c r="G31" i="6"/>
  <c r="G30" i="6"/>
  <c r="J7" i="21" l="1"/>
  <c r="J11" i="21" s="1"/>
  <c r="G28" i="6"/>
  <c r="G27" i="6"/>
  <c r="G23" i="6"/>
  <c r="G22" i="6"/>
  <c r="H20" i="18"/>
  <c r="J18" i="18"/>
  <c r="H14" i="18"/>
  <c r="H12" i="18"/>
  <c r="E12" i="18"/>
  <c r="G10" i="17"/>
  <c r="D32" i="17"/>
  <c r="E32" i="17"/>
  <c r="G30" i="17"/>
  <c r="G32" i="17" s="1"/>
  <c r="E33" i="17"/>
  <c r="F32" i="17" l="1"/>
  <c r="G29" i="17"/>
  <c r="K28" i="17"/>
  <c r="K29" i="17" s="1"/>
  <c r="F28" i="17"/>
  <c r="G27" i="17"/>
  <c r="F29" i="17"/>
  <c r="G22" i="17"/>
  <c r="K22" i="17"/>
  <c r="E21" i="17"/>
  <c r="E22" i="17" s="1"/>
  <c r="D21" i="17"/>
  <c r="D22" i="17" s="1"/>
  <c r="E16" i="17"/>
  <c r="D16" i="17"/>
  <c r="H10" i="17"/>
  <c r="H69" i="16"/>
  <c r="H72" i="16"/>
  <c r="G72" i="16"/>
  <c r="G62" i="16"/>
  <c r="E62" i="16"/>
  <c r="I62" i="16"/>
  <c r="G61" i="16"/>
  <c r="J40" i="16"/>
  <c r="J103" i="16" s="1"/>
  <c r="I38" i="16"/>
  <c r="H38" i="16"/>
  <c r="G8" i="16"/>
  <c r="I8" i="16"/>
  <c r="N103" i="16"/>
  <c r="K103" i="16"/>
  <c r="K39" i="15"/>
  <c r="G39" i="15"/>
  <c r="E40" i="16"/>
  <c r="D16" i="16"/>
  <c r="H100" i="16"/>
  <c r="L90" i="15"/>
  <c r="K90" i="15"/>
  <c r="J90" i="15"/>
  <c r="I84" i="16"/>
  <c r="H82" i="16"/>
  <c r="H81" i="16"/>
  <c r="H80" i="16"/>
  <c r="L62" i="15"/>
  <c r="F58" i="15"/>
  <c r="D62" i="15"/>
  <c r="F21" i="17" l="1"/>
  <c r="D86" i="15"/>
  <c r="D100" i="15"/>
  <c r="D94" i="15"/>
  <c r="D72" i="15"/>
  <c r="D57" i="15"/>
  <c r="G101" i="15"/>
  <c r="K101" i="15"/>
  <c r="H101" i="15" s="1"/>
  <c r="K96" i="15"/>
  <c r="J96" i="15"/>
  <c r="F96" i="15"/>
  <c r="H93" i="15"/>
  <c r="G93" i="15"/>
  <c r="L93" i="15"/>
  <c r="H85" i="15"/>
  <c r="G85" i="15"/>
  <c r="H84" i="15"/>
  <c r="H73" i="15"/>
  <c r="G73" i="15"/>
  <c r="H71" i="15"/>
  <c r="G71" i="15"/>
  <c r="H61" i="15"/>
  <c r="G61" i="15"/>
  <c r="E62" i="15"/>
  <c r="F62" i="15" s="1"/>
  <c r="H55" i="15"/>
  <c r="H48" i="15"/>
  <c r="G48" i="15"/>
  <c r="H37" i="15"/>
  <c r="G37" i="15"/>
  <c r="L37" i="15"/>
  <c r="I36" i="15"/>
  <c r="H36" i="15"/>
  <c r="F36" i="15"/>
  <c r="F35" i="15"/>
  <c r="I22" i="15"/>
  <c r="H15" i="15"/>
  <c r="G15" i="15"/>
  <c r="H12" i="15"/>
  <c r="G12" i="15"/>
  <c r="K11" i="15"/>
  <c r="J11" i="15"/>
  <c r="K7" i="15"/>
  <c r="J7" i="15"/>
  <c r="N110" i="14" l="1"/>
  <c r="N111" i="14" s="1"/>
  <c r="M110" i="14"/>
  <c r="G51" i="14"/>
  <c r="F51" i="14"/>
  <c r="E51" i="14"/>
  <c r="D104" i="14"/>
  <c r="C104" i="14"/>
  <c r="C98" i="14"/>
  <c r="F98" i="14" s="1"/>
  <c r="D99" i="14"/>
  <c r="C99" i="14"/>
  <c r="C101" i="14"/>
  <c r="C102" i="14"/>
  <c r="F102" i="14" s="1"/>
  <c r="D98" i="14"/>
  <c r="G98" i="14" s="1"/>
  <c r="H51" i="14" l="1"/>
  <c r="D107" i="14"/>
  <c r="G107" i="14" s="1"/>
  <c r="I107" i="14" s="1"/>
  <c r="C107" i="14"/>
  <c r="F107" i="14" s="1"/>
  <c r="F99" i="14"/>
  <c r="F100" i="14"/>
  <c r="D101" i="14"/>
  <c r="G92" i="14"/>
  <c r="F92" i="14"/>
  <c r="E92" i="14"/>
  <c r="G91" i="14"/>
  <c r="F91" i="14"/>
  <c r="E91" i="14"/>
  <c r="G88" i="14"/>
  <c r="I88" i="14" s="1"/>
  <c r="F88" i="14"/>
  <c r="D89" i="14"/>
  <c r="D93" i="14" s="1"/>
  <c r="C89" i="14"/>
  <c r="G76" i="14"/>
  <c r="F76" i="14"/>
  <c r="E76" i="14"/>
  <c r="F79" i="14"/>
  <c r="D80" i="14"/>
  <c r="C80" i="14"/>
  <c r="F80" i="14" s="1"/>
  <c r="D77" i="14"/>
  <c r="C77" i="14"/>
  <c r="F77" i="14" s="1"/>
  <c r="D74" i="14"/>
  <c r="C74" i="14"/>
  <c r="F74" i="14" s="1"/>
  <c r="D73" i="14"/>
  <c r="C73" i="14"/>
  <c r="F73" i="14" s="1"/>
  <c r="G70" i="14"/>
  <c r="F70" i="14"/>
  <c r="E70" i="14"/>
  <c r="F67" i="14"/>
  <c r="D68" i="14"/>
  <c r="C68" i="14"/>
  <c r="F68" i="14" s="1"/>
  <c r="F45" i="14"/>
  <c r="F44" i="14"/>
  <c r="G59" i="14"/>
  <c r="F57" i="14"/>
  <c r="G46" i="14"/>
  <c r="F46" i="14"/>
  <c r="D60" i="14"/>
  <c r="C60" i="14"/>
  <c r="G56" i="14"/>
  <c r="D50" i="14"/>
  <c r="C50" i="14"/>
  <c r="D49" i="14"/>
  <c r="C49" i="14"/>
  <c r="F49" i="14" s="1"/>
  <c r="D48" i="14"/>
  <c r="C48" i="14"/>
  <c r="F48" i="14" s="1"/>
  <c r="D47" i="14"/>
  <c r="C47" i="14"/>
  <c r="C64" i="14" s="1"/>
  <c r="F60" i="14"/>
  <c r="F50" i="14"/>
  <c r="D43" i="14"/>
  <c r="C43" i="14"/>
  <c r="G42" i="14"/>
  <c r="G43" i="14" s="1"/>
  <c r="F42" i="14"/>
  <c r="E42" i="14"/>
  <c r="D36" i="14"/>
  <c r="C36" i="14"/>
  <c r="C38" i="14" s="1"/>
  <c r="G35" i="14"/>
  <c r="H35" i="14" s="1"/>
  <c r="E35" i="14"/>
  <c r="G37" i="14"/>
  <c r="E30" i="14"/>
  <c r="E37" i="14"/>
  <c r="G29" i="14"/>
  <c r="I29" i="14" s="1"/>
  <c r="F29" i="14"/>
  <c r="D21" i="14"/>
  <c r="D17" i="14"/>
  <c r="G17" i="14" s="1"/>
  <c r="C17" i="14"/>
  <c r="F17" i="14" s="1"/>
  <c r="G36" i="14" l="1"/>
  <c r="D38" i="14"/>
  <c r="H42" i="14"/>
  <c r="F36" i="14"/>
  <c r="H36" i="14" s="1"/>
  <c r="F47" i="14"/>
  <c r="D64" i="14"/>
  <c r="E107" i="14"/>
  <c r="H76" i="14"/>
  <c r="H107" i="14"/>
  <c r="H91" i="14"/>
  <c r="H92" i="14"/>
  <c r="H70" i="14"/>
  <c r="F43" i="14"/>
  <c r="H43" i="14" s="1"/>
  <c r="E36" i="14"/>
  <c r="E77" i="14"/>
  <c r="I8" i="21"/>
  <c r="I11" i="21"/>
  <c r="I7" i="21"/>
  <c r="F8" i="21"/>
  <c r="F7" i="21"/>
  <c r="I25" i="19"/>
  <c r="I24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4" i="19"/>
  <c r="F7" i="19"/>
  <c r="G17" i="6"/>
  <c r="G18" i="6"/>
  <c r="G19" i="6"/>
  <c r="G20" i="6"/>
  <c r="G21" i="6"/>
  <c r="G24" i="6"/>
  <c r="G25" i="6"/>
  <c r="G26" i="6"/>
  <c r="G32" i="6"/>
  <c r="G33" i="6"/>
  <c r="G34" i="6"/>
  <c r="G35" i="6"/>
  <c r="G36" i="6"/>
  <c r="F37" i="6"/>
  <c r="D14" i="3"/>
  <c r="D11" i="21" l="1"/>
  <c r="F11" i="21" s="1"/>
  <c r="H21" i="18" l="1"/>
  <c r="G21" i="18"/>
  <c r="E21" i="18"/>
  <c r="D21" i="18"/>
  <c r="K19" i="18"/>
  <c r="J19" i="18"/>
  <c r="H19" i="18"/>
  <c r="I19" i="18" s="1"/>
  <c r="G19" i="18"/>
  <c r="E19" i="18"/>
  <c r="F19" i="18" s="1"/>
  <c r="D19" i="18"/>
  <c r="I20" i="18"/>
  <c r="F20" i="18"/>
  <c r="G17" i="17" l="1"/>
  <c r="E17" i="17"/>
  <c r="D17" i="17"/>
  <c r="F17" i="17" s="1"/>
  <c r="G16" i="17"/>
  <c r="F16" i="17"/>
  <c r="F13" i="17"/>
  <c r="H11" i="17"/>
  <c r="E11" i="17"/>
  <c r="D10" i="17"/>
  <c r="D11" i="17" s="1"/>
  <c r="D78" i="16"/>
  <c r="D100" i="16"/>
  <c r="H74" i="15"/>
  <c r="G74" i="15"/>
  <c r="E74" i="15"/>
  <c r="F74" i="15" s="1"/>
  <c r="D74" i="15"/>
  <c r="I73" i="15"/>
  <c r="F73" i="15"/>
  <c r="I84" i="15"/>
  <c r="F84" i="15"/>
  <c r="H62" i="15"/>
  <c r="I48" i="15"/>
  <c r="F48" i="15"/>
  <c r="J39" i="15"/>
  <c r="E39" i="15"/>
  <c r="D39" i="15"/>
  <c r="E17" i="15"/>
  <c r="D17" i="15"/>
  <c r="I16" i="15"/>
  <c r="F16" i="15"/>
  <c r="L10" i="15"/>
  <c r="E8" i="15"/>
  <c r="D8" i="15"/>
  <c r="I6" i="15"/>
  <c r="I74" i="15" l="1"/>
  <c r="F10" i="17"/>
  <c r="L7" i="15"/>
  <c r="F6" i="15"/>
  <c r="D102" i="16"/>
  <c r="D72" i="16"/>
  <c r="D62" i="16"/>
  <c r="D58" i="16"/>
  <c r="D103" i="16" s="1"/>
  <c r="D40" i="16"/>
  <c r="D32" i="16"/>
  <c r="D23" i="16"/>
  <c r="G84" i="16" l="1"/>
  <c r="F84" i="16"/>
  <c r="H79" i="16"/>
  <c r="N74" i="16"/>
  <c r="M74" i="16"/>
  <c r="L74" i="16"/>
  <c r="K74" i="16"/>
  <c r="J74" i="16"/>
  <c r="I74" i="16"/>
  <c r="H74" i="16"/>
  <c r="E74" i="16"/>
  <c r="F74" i="16" s="1"/>
  <c r="D74" i="16"/>
  <c r="G73" i="16"/>
  <c r="G74" i="16" s="1"/>
  <c r="F73" i="16"/>
  <c r="K65" i="16"/>
  <c r="N62" i="16"/>
  <c r="M62" i="16"/>
  <c r="L62" i="16"/>
  <c r="K62" i="16"/>
  <c r="J62" i="16"/>
  <c r="H62" i="16"/>
  <c r="F61" i="16"/>
  <c r="I49" i="16"/>
  <c r="G49" i="16" s="1"/>
  <c r="F49" i="16"/>
  <c r="N25" i="16" l="1"/>
  <c r="M25" i="16"/>
  <c r="L25" i="16"/>
  <c r="K25" i="16"/>
  <c r="J25" i="16"/>
  <c r="I25" i="16"/>
  <c r="H25" i="16"/>
  <c r="G25" i="16"/>
  <c r="E25" i="16"/>
  <c r="D25" i="16"/>
  <c r="F24" i="16"/>
  <c r="G18" i="16"/>
  <c r="I18" i="16" s="1"/>
  <c r="F18" i="16"/>
  <c r="E19" i="16"/>
  <c r="D19" i="16"/>
  <c r="D10" i="16"/>
  <c r="F8" i="16"/>
  <c r="F25" i="16" l="1"/>
  <c r="K111" i="14" l="1"/>
  <c r="M111" i="14" s="1"/>
  <c r="F111" i="14"/>
  <c r="D111" i="14"/>
  <c r="C111" i="14"/>
  <c r="E110" i="14"/>
  <c r="C108" i="14"/>
  <c r="G95" i="14" l="1"/>
  <c r="F95" i="14"/>
  <c r="D95" i="14"/>
  <c r="C95" i="14"/>
  <c r="H94" i="14"/>
  <c r="E94" i="14"/>
  <c r="H88" i="14"/>
  <c r="E88" i="14"/>
  <c r="C93" i="14"/>
  <c r="E95" i="14" l="1"/>
  <c r="H98" i="14"/>
  <c r="D103" i="14"/>
  <c r="C103" i="14"/>
  <c r="F103" i="14"/>
  <c r="H95" i="14"/>
  <c r="E102" i="14"/>
  <c r="H102" i="14"/>
  <c r="E98" i="14"/>
  <c r="O84" i="14" l="1"/>
  <c r="N84" i="14"/>
  <c r="L84" i="14"/>
  <c r="K84" i="14"/>
  <c r="J84" i="14"/>
  <c r="H83" i="14"/>
  <c r="E83" i="14"/>
  <c r="H82" i="14"/>
  <c r="E82" i="14"/>
  <c r="C84" i="14"/>
  <c r="O72" i="14"/>
  <c r="N72" i="14"/>
  <c r="L72" i="14"/>
  <c r="K72" i="14"/>
  <c r="J72" i="14"/>
  <c r="I72" i="14"/>
  <c r="D72" i="14"/>
  <c r="C72" i="14"/>
  <c r="I64" i="14"/>
  <c r="D84" i="14" l="1"/>
  <c r="E84" i="14" s="1"/>
  <c r="H46" i="14"/>
  <c r="E46" i="14"/>
  <c r="E55" i="14"/>
  <c r="H56" i="14"/>
  <c r="E56" i="14"/>
  <c r="H41" i="14"/>
  <c r="E41" i="14"/>
  <c r="O27" i="14" l="1"/>
  <c r="N27" i="14"/>
  <c r="L27" i="14"/>
  <c r="K27" i="14"/>
  <c r="J27" i="14"/>
  <c r="G27" i="14"/>
  <c r="F27" i="14"/>
  <c r="D27" i="14"/>
  <c r="C27" i="14"/>
  <c r="M26" i="14"/>
  <c r="E26" i="14"/>
  <c r="H25" i="14"/>
  <c r="E25" i="14"/>
  <c r="E64" i="14" l="1"/>
  <c r="H27" i="14"/>
  <c r="M27" i="14"/>
  <c r="E27" i="14"/>
  <c r="L101" i="15"/>
  <c r="L98" i="15"/>
  <c r="I71" i="15"/>
  <c r="H32" i="16" l="1"/>
  <c r="H103" i="16" s="1"/>
  <c r="G92" i="15" l="1"/>
  <c r="H92" i="15"/>
  <c r="G89" i="15"/>
  <c r="J96" i="16"/>
  <c r="N41" i="16"/>
  <c r="I92" i="15" l="1"/>
  <c r="F12" i="17"/>
  <c r="F14" i="17"/>
  <c r="F18" i="17"/>
  <c r="F20" i="17"/>
  <c r="F31" i="17"/>
  <c r="F33" i="17"/>
  <c r="I85" i="16"/>
  <c r="I97" i="16"/>
  <c r="G97" i="16" s="1"/>
  <c r="I92" i="16"/>
  <c r="G92" i="16" s="1"/>
  <c r="I90" i="16"/>
  <c r="G90" i="16" s="1"/>
  <c r="F21" i="16"/>
  <c r="F22" i="16"/>
  <c r="F70" i="15"/>
  <c r="F71" i="15"/>
  <c r="F27" i="15"/>
  <c r="E106" i="14" l="1"/>
  <c r="H106" i="14"/>
  <c r="I100" i="14"/>
  <c r="E79" i="14"/>
  <c r="J43" i="14"/>
  <c r="K43" i="14"/>
  <c r="L43" i="14"/>
  <c r="M43" i="14"/>
  <c r="N43" i="14"/>
  <c r="O43" i="14"/>
  <c r="I43" i="14"/>
  <c r="J25" i="18" l="1"/>
  <c r="I25" i="18"/>
  <c r="F25" i="18"/>
  <c r="J24" i="18"/>
  <c r="I24" i="18"/>
  <c r="F24" i="18"/>
  <c r="J23" i="18"/>
  <c r="I23" i="18"/>
  <c r="F23" i="18"/>
  <c r="J22" i="18"/>
  <c r="I22" i="18"/>
  <c r="F22" i="18"/>
  <c r="K21" i="18"/>
  <c r="I18" i="18"/>
  <c r="F18" i="18"/>
  <c r="J17" i="18"/>
  <c r="H17" i="18"/>
  <c r="G17" i="18"/>
  <c r="E17" i="18"/>
  <c r="D17" i="18"/>
  <c r="J16" i="18"/>
  <c r="J15" i="18" s="1"/>
  <c r="I16" i="18"/>
  <c r="F16" i="18"/>
  <c r="K15" i="18"/>
  <c r="G15" i="18"/>
  <c r="E15" i="18"/>
  <c r="D15" i="18"/>
  <c r="J14" i="18"/>
  <c r="I14" i="18"/>
  <c r="F14" i="18"/>
  <c r="H13" i="18"/>
  <c r="G13" i="18"/>
  <c r="E13" i="18"/>
  <c r="D13" i="18"/>
  <c r="J12" i="18"/>
  <c r="J11" i="18" s="1"/>
  <c r="I12" i="18"/>
  <c r="F12" i="18"/>
  <c r="K11" i="18"/>
  <c r="H11" i="18"/>
  <c r="G11" i="18"/>
  <c r="G26" i="18" s="1"/>
  <c r="E11" i="18"/>
  <c r="D11" i="18"/>
  <c r="K34" i="17"/>
  <c r="J34" i="17"/>
  <c r="I34" i="17"/>
  <c r="H34" i="17"/>
  <c r="E34" i="17"/>
  <c r="D34" i="17"/>
  <c r="G33" i="17"/>
  <c r="G31" i="17"/>
  <c r="J22" i="17"/>
  <c r="I22" i="17"/>
  <c r="H22" i="17"/>
  <c r="K19" i="17"/>
  <c r="J19" i="17"/>
  <c r="I19" i="17"/>
  <c r="H19" i="17"/>
  <c r="D19" i="17"/>
  <c r="E19" i="17"/>
  <c r="K15" i="17"/>
  <c r="K35" i="17" s="1"/>
  <c r="J15" i="17"/>
  <c r="I15" i="17"/>
  <c r="H15" i="17"/>
  <c r="E15" i="17"/>
  <c r="D15" i="17"/>
  <c r="G14" i="17"/>
  <c r="G15" i="17" s="1"/>
  <c r="K11" i="17"/>
  <c r="J11" i="17"/>
  <c r="I11" i="17"/>
  <c r="G9" i="17"/>
  <c r="G11" i="17" s="1"/>
  <c r="F9" i="17"/>
  <c r="G6" i="17"/>
  <c r="F6" i="17"/>
  <c r="N102" i="16"/>
  <c r="M102" i="16"/>
  <c r="L102" i="16"/>
  <c r="K102" i="16"/>
  <c r="J102" i="16"/>
  <c r="H102" i="16"/>
  <c r="E102" i="16"/>
  <c r="F101" i="16"/>
  <c r="I100" i="16"/>
  <c r="G100" i="16" s="1"/>
  <c r="F100" i="16"/>
  <c r="N99" i="16"/>
  <c r="M99" i="16"/>
  <c r="L99" i="16"/>
  <c r="K99" i="16"/>
  <c r="J99" i="16"/>
  <c r="H99" i="16"/>
  <c r="E99" i="16"/>
  <c r="D99" i="16"/>
  <c r="I98" i="16"/>
  <c r="G98" i="16" s="1"/>
  <c r="F98" i="16"/>
  <c r="F97" i="16"/>
  <c r="I96" i="16"/>
  <c r="G96" i="16" s="1"/>
  <c r="F96" i="16"/>
  <c r="I95" i="16"/>
  <c r="F95" i="16"/>
  <c r="N94" i="16"/>
  <c r="M94" i="16"/>
  <c r="L94" i="16"/>
  <c r="K94" i="16"/>
  <c r="J94" i="16"/>
  <c r="H94" i="16"/>
  <c r="E94" i="16"/>
  <c r="D94" i="16"/>
  <c r="I93" i="16"/>
  <c r="G93" i="16" s="1"/>
  <c r="F93" i="16"/>
  <c r="F92" i="16"/>
  <c r="I91" i="16"/>
  <c r="G91" i="16" s="1"/>
  <c r="F91" i="16"/>
  <c r="F90" i="16"/>
  <c r="I89" i="16"/>
  <c r="G89" i="16" s="1"/>
  <c r="F89" i="16"/>
  <c r="I88" i="16"/>
  <c r="F88" i="16"/>
  <c r="I87" i="16"/>
  <c r="G87" i="16" s="1"/>
  <c r="F87" i="16"/>
  <c r="N86" i="16"/>
  <c r="M86" i="16"/>
  <c r="L86" i="16"/>
  <c r="K86" i="16"/>
  <c r="J86" i="16"/>
  <c r="H86" i="16"/>
  <c r="E86" i="16"/>
  <c r="D86" i="16"/>
  <c r="G85" i="16"/>
  <c r="F85" i="16"/>
  <c r="I83" i="16"/>
  <c r="G83" i="16" s="1"/>
  <c r="F83" i="16"/>
  <c r="G82" i="16"/>
  <c r="F82" i="16"/>
  <c r="G81" i="16"/>
  <c r="F81" i="16"/>
  <c r="I80" i="16"/>
  <c r="G80" i="16" s="1"/>
  <c r="F80" i="16"/>
  <c r="I79" i="16"/>
  <c r="G79" i="16" s="1"/>
  <c r="F79" i="16"/>
  <c r="N78" i="16"/>
  <c r="M78" i="16"/>
  <c r="L78" i="16"/>
  <c r="K78" i="16"/>
  <c r="J78" i="16"/>
  <c r="H78" i="16"/>
  <c r="E78" i="16"/>
  <c r="I77" i="16"/>
  <c r="G77" i="16" s="1"/>
  <c r="F77" i="16"/>
  <c r="I76" i="16"/>
  <c r="G76" i="16" s="1"/>
  <c r="F76" i="16"/>
  <c r="I75" i="16"/>
  <c r="G75" i="16" s="1"/>
  <c r="F75" i="16"/>
  <c r="N72" i="16"/>
  <c r="M72" i="16"/>
  <c r="L72" i="16"/>
  <c r="K72" i="16"/>
  <c r="J72" i="16"/>
  <c r="E72" i="16"/>
  <c r="I71" i="16"/>
  <c r="G71" i="16" s="1"/>
  <c r="F71" i="16"/>
  <c r="I70" i="16"/>
  <c r="G70" i="16" s="1"/>
  <c r="F70" i="16"/>
  <c r="G69" i="16"/>
  <c r="F69" i="16"/>
  <c r="I68" i="16"/>
  <c r="G68" i="16" s="1"/>
  <c r="F68" i="16"/>
  <c r="I67" i="16"/>
  <c r="G67" i="16" s="1"/>
  <c r="F67" i="16"/>
  <c r="G66" i="16"/>
  <c r="F66" i="16"/>
  <c r="G65" i="16"/>
  <c r="F65" i="16"/>
  <c r="I64" i="16"/>
  <c r="G64" i="16" s="1"/>
  <c r="F64" i="16"/>
  <c r="I63" i="16"/>
  <c r="F63" i="16"/>
  <c r="I60" i="16"/>
  <c r="G60" i="16" s="1"/>
  <c r="F60" i="16"/>
  <c r="I59" i="16"/>
  <c r="F59" i="16"/>
  <c r="N58" i="16"/>
  <c r="M58" i="16"/>
  <c r="L58" i="16"/>
  <c r="K58" i="16"/>
  <c r="J58" i="16"/>
  <c r="H58" i="16"/>
  <c r="E58" i="16"/>
  <c r="E103" i="16" s="1"/>
  <c r="I57" i="16"/>
  <c r="G57" i="16" s="1"/>
  <c r="F57" i="16"/>
  <c r="I56" i="16"/>
  <c r="G56" i="16" s="1"/>
  <c r="F56" i="16"/>
  <c r="I55" i="16"/>
  <c r="G55" i="16" s="1"/>
  <c r="F55" i="16"/>
  <c r="I54" i="16"/>
  <c r="G54" i="16" s="1"/>
  <c r="F54" i="16"/>
  <c r="I53" i="16"/>
  <c r="G53" i="16" s="1"/>
  <c r="F53" i="16"/>
  <c r="I52" i="16"/>
  <c r="G52" i="16" s="1"/>
  <c r="F52" i="16"/>
  <c r="I51" i="16"/>
  <c r="G51" i="16" s="1"/>
  <c r="F51" i="16"/>
  <c r="I50" i="16"/>
  <c r="G50" i="16" s="1"/>
  <c r="F50" i="16"/>
  <c r="I48" i="16"/>
  <c r="G48" i="16" s="1"/>
  <c r="F48" i="16"/>
  <c r="I47" i="16"/>
  <c r="G47" i="16" s="1"/>
  <c r="F47" i="16"/>
  <c r="I46" i="16"/>
  <c r="F46" i="16"/>
  <c r="N45" i="16"/>
  <c r="M45" i="16"/>
  <c r="L45" i="16"/>
  <c r="K45" i="16"/>
  <c r="J45" i="16"/>
  <c r="H45" i="16"/>
  <c r="E45" i="16"/>
  <c r="D45" i="16"/>
  <c r="I44" i="16"/>
  <c r="G44" i="16" s="1"/>
  <c r="F44" i="16"/>
  <c r="I43" i="16"/>
  <c r="G43" i="16" s="1"/>
  <c r="F43" i="16"/>
  <c r="N42" i="16"/>
  <c r="M42" i="16"/>
  <c r="L42" i="16"/>
  <c r="K42" i="16"/>
  <c r="J42" i="16"/>
  <c r="H42" i="16"/>
  <c r="E42" i="16"/>
  <c r="D42" i="16"/>
  <c r="I41" i="16"/>
  <c r="I42" i="16" s="1"/>
  <c r="F41" i="16"/>
  <c r="N40" i="16"/>
  <c r="M40" i="16"/>
  <c r="L40" i="16"/>
  <c r="K40" i="16"/>
  <c r="H40" i="16"/>
  <c r="I39" i="16"/>
  <c r="G39" i="16" s="1"/>
  <c r="F39" i="16"/>
  <c r="F38" i="16"/>
  <c r="N36" i="16"/>
  <c r="M36" i="16"/>
  <c r="L36" i="16"/>
  <c r="J36" i="16"/>
  <c r="H36" i="16"/>
  <c r="E36" i="16"/>
  <c r="D36" i="16"/>
  <c r="K35" i="16"/>
  <c r="K36" i="16" s="1"/>
  <c r="F35" i="16"/>
  <c r="N34" i="16"/>
  <c r="M34" i="16"/>
  <c r="L34" i="16"/>
  <c r="K34" i="16"/>
  <c r="J34" i="16"/>
  <c r="H34" i="16"/>
  <c r="E34" i="16"/>
  <c r="D34" i="16"/>
  <c r="I33" i="16"/>
  <c r="I34" i="16" s="1"/>
  <c r="F33" i="16"/>
  <c r="N32" i="16"/>
  <c r="M32" i="16"/>
  <c r="L32" i="16"/>
  <c r="K32" i="16"/>
  <c r="J32" i="16"/>
  <c r="E32" i="16"/>
  <c r="I31" i="16"/>
  <c r="G31" i="16" s="1"/>
  <c r="F31" i="16"/>
  <c r="I30" i="16"/>
  <c r="G30" i="16" s="1"/>
  <c r="F30" i="16"/>
  <c r="I29" i="16"/>
  <c r="G29" i="16" s="1"/>
  <c r="F29" i="16"/>
  <c r="I28" i="16"/>
  <c r="G28" i="16" s="1"/>
  <c r="F28" i="16"/>
  <c r="I27" i="16"/>
  <c r="G27" i="16" s="1"/>
  <c r="F27" i="16"/>
  <c r="G26" i="16"/>
  <c r="F26" i="16"/>
  <c r="N23" i="16"/>
  <c r="M23" i="16"/>
  <c r="L23" i="16"/>
  <c r="K23" i="16"/>
  <c r="J23" i="16"/>
  <c r="H23" i="16"/>
  <c r="E23" i="16"/>
  <c r="I21" i="16"/>
  <c r="G21" i="16" s="1"/>
  <c r="I20" i="16"/>
  <c r="G20" i="16" s="1"/>
  <c r="F20" i="16"/>
  <c r="N19" i="16"/>
  <c r="M19" i="16"/>
  <c r="L19" i="16"/>
  <c r="K19" i="16"/>
  <c r="J19" i="16"/>
  <c r="H19" i="16"/>
  <c r="I17" i="16"/>
  <c r="I19" i="16" s="1"/>
  <c r="F17" i="16"/>
  <c r="N16" i="16"/>
  <c r="M16" i="16"/>
  <c r="L16" i="16"/>
  <c r="K16" i="16"/>
  <c r="J16" i="16"/>
  <c r="H16" i="16"/>
  <c r="E16" i="16"/>
  <c r="F15" i="16"/>
  <c r="I14" i="16"/>
  <c r="G14" i="16" s="1"/>
  <c r="F14" i="16"/>
  <c r="I13" i="16"/>
  <c r="F13" i="16"/>
  <c r="I12" i="16"/>
  <c r="G12" i="16" s="1"/>
  <c r="F12" i="16"/>
  <c r="I11" i="16"/>
  <c r="G11" i="16" s="1"/>
  <c r="F11" i="16"/>
  <c r="N10" i="16"/>
  <c r="M10" i="16"/>
  <c r="L10" i="16"/>
  <c r="K10" i="16"/>
  <c r="J10" i="16"/>
  <c r="H10" i="16"/>
  <c r="E10" i="16"/>
  <c r="I9" i="16"/>
  <c r="G9" i="16" s="1"/>
  <c r="F9" i="16"/>
  <c r="I7" i="16"/>
  <c r="F7" i="16"/>
  <c r="K103" i="15"/>
  <c r="J103" i="15"/>
  <c r="E103" i="15"/>
  <c r="D103" i="15"/>
  <c r="H102" i="15"/>
  <c r="G102" i="15"/>
  <c r="F102" i="15"/>
  <c r="F101" i="15"/>
  <c r="K100" i="15"/>
  <c r="J100" i="15"/>
  <c r="E100" i="15"/>
  <c r="H99" i="15"/>
  <c r="G99" i="15"/>
  <c r="F99" i="15"/>
  <c r="F98" i="15"/>
  <c r="H97" i="15"/>
  <c r="G97" i="15"/>
  <c r="F97" i="15"/>
  <c r="H95" i="15"/>
  <c r="G95" i="15"/>
  <c r="F95" i="15"/>
  <c r="K94" i="15"/>
  <c r="K104" i="15" s="1"/>
  <c r="J94" i="15"/>
  <c r="E94" i="15"/>
  <c r="I93" i="15"/>
  <c r="F93" i="15"/>
  <c r="F92" i="15"/>
  <c r="H91" i="15"/>
  <c r="G91" i="15"/>
  <c r="F91" i="15"/>
  <c r="I90" i="15"/>
  <c r="F90" i="15"/>
  <c r="H89" i="15"/>
  <c r="F89" i="15"/>
  <c r="H88" i="15"/>
  <c r="G88" i="15"/>
  <c r="F88" i="15"/>
  <c r="H87" i="15"/>
  <c r="G87" i="15"/>
  <c r="F87" i="15"/>
  <c r="K86" i="15"/>
  <c r="E86" i="15"/>
  <c r="I85" i="15"/>
  <c r="F85" i="15"/>
  <c r="H83" i="15"/>
  <c r="F83" i="15"/>
  <c r="J82" i="15"/>
  <c r="J83" i="15" s="1"/>
  <c r="H82" i="15"/>
  <c r="F82" i="15"/>
  <c r="H81" i="15"/>
  <c r="G81" i="15"/>
  <c r="F81" i="15"/>
  <c r="H80" i="15"/>
  <c r="G80" i="15"/>
  <c r="F80" i="15"/>
  <c r="H79" i="15"/>
  <c r="G79" i="15"/>
  <c r="F79" i="15"/>
  <c r="K78" i="15"/>
  <c r="J78" i="15"/>
  <c r="E78" i="15"/>
  <c r="D78" i="15"/>
  <c r="H77" i="15"/>
  <c r="G77" i="15"/>
  <c r="F77" i="15"/>
  <c r="H76" i="15"/>
  <c r="G76" i="15"/>
  <c r="F76" i="15"/>
  <c r="H75" i="15"/>
  <c r="G75" i="15"/>
  <c r="F75" i="15"/>
  <c r="K72" i="15"/>
  <c r="J72" i="15"/>
  <c r="E72" i="15"/>
  <c r="H70" i="15"/>
  <c r="G70" i="15"/>
  <c r="H69" i="15"/>
  <c r="G69" i="15"/>
  <c r="F69" i="15"/>
  <c r="H68" i="15"/>
  <c r="G68" i="15"/>
  <c r="F68" i="15"/>
  <c r="H67" i="15"/>
  <c r="G67" i="15"/>
  <c r="F67" i="15"/>
  <c r="H66" i="15"/>
  <c r="G66" i="15"/>
  <c r="F66" i="15"/>
  <c r="H65" i="15"/>
  <c r="G65" i="15"/>
  <c r="F65" i="15"/>
  <c r="H64" i="15"/>
  <c r="G64" i="15"/>
  <c r="F64" i="15"/>
  <c r="H63" i="15"/>
  <c r="G63" i="15"/>
  <c r="F63" i="15"/>
  <c r="H60" i="15"/>
  <c r="G60" i="15"/>
  <c r="F60" i="15"/>
  <c r="H59" i="15"/>
  <c r="G59" i="15"/>
  <c r="F59" i="15"/>
  <c r="K57" i="15"/>
  <c r="J57" i="15"/>
  <c r="L57" i="15" s="1"/>
  <c r="E57" i="15"/>
  <c r="H56" i="15"/>
  <c r="G56" i="15"/>
  <c r="F56" i="15"/>
  <c r="G55" i="15"/>
  <c r="I55" i="15" s="1"/>
  <c r="H54" i="15"/>
  <c r="G54" i="15"/>
  <c r="F54" i="15"/>
  <c r="H53" i="15"/>
  <c r="G53" i="15"/>
  <c r="F53" i="15"/>
  <c r="H52" i="15"/>
  <c r="G52" i="15"/>
  <c r="F52" i="15"/>
  <c r="H51" i="15"/>
  <c r="G51" i="15"/>
  <c r="F51" i="15"/>
  <c r="H50" i="15"/>
  <c r="G50" i="15"/>
  <c r="F50" i="15"/>
  <c r="H49" i="15"/>
  <c r="G49" i="15"/>
  <c r="F49" i="15"/>
  <c r="H47" i="15"/>
  <c r="G47" i="15"/>
  <c r="F47" i="15"/>
  <c r="H46" i="15"/>
  <c r="G46" i="15"/>
  <c r="F46" i="15"/>
  <c r="H45" i="15"/>
  <c r="G45" i="15"/>
  <c r="F45" i="15"/>
  <c r="K44" i="15"/>
  <c r="J44" i="15"/>
  <c r="E44" i="15"/>
  <c r="D44" i="15"/>
  <c r="H43" i="15"/>
  <c r="G43" i="15"/>
  <c r="F43" i="15"/>
  <c r="H42" i="15"/>
  <c r="G42" i="15"/>
  <c r="F42" i="15"/>
  <c r="K41" i="15"/>
  <c r="J41" i="15"/>
  <c r="E41" i="15"/>
  <c r="D41" i="15"/>
  <c r="H40" i="15"/>
  <c r="H41" i="15" s="1"/>
  <c r="G40" i="15"/>
  <c r="G41" i="15" s="1"/>
  <c r="F40" i="15"/>
  <c r="H39" i="15"/>
  <c r="H38" i="15"/>
  <c r="G38" i="15"/>
  <c r="F38" i="15"/>
  <c r="F37" i="15"/>
  <c r="J34" i="15"/>
  <c r="E34" i="15"/>
  <c r="H34" i="15" s="1"/>
  <c r="D34" i="15"/>
  <c r="H33" i="15"/>
  <c r="G33" i="15"/>
  <c r="F33" i="15"/>
  <c r="K32" i="15"/>
  <c r="J32" i="15"/>
  <c r="E32" i="15"/>
  <c r="D32" i="15"/>
  <c r="H31" i="15"/>
  <c r="G31" i="15"/>
  <c r="F31" i="15"/>
  <c r="K30" i="15"/>
  <c r="J30" i="15"/>
  <c r="E30" i="15"/>
  <c r="D30" i="15"/>
  <c r="H29" i="15"/>
  <c r="G29" i="15"/>
  <c r="F29" i="15"/>
  <c r="H28" i="15"/>
  <c r="G28" i="15"/>
  <c r="F28" i="15"/>
  <c r="H27" i="15"/>
  <c r="G27" i="15"/>
  <c r="H26" i="15"/>
  <c r="F26" i="15"/>
  <c r="H25" i="15"/>
  <c r="G25" i="15"/>
  <c r="F25" i="15"/>
  <c r="H24" i="15"/>
  <c r="G24" i="15"/>
  <c r="F24" i="15"/>
  <c r="K21" i="15"/>
  <c r="J21" i="15"/>
  <c r="E21" i="15"/>
  <c r="D21" i="15"/>
  <c r="H20" i="15"/>
  <c r="G20" i="15"/>
  <c r="F20" i="15"/>
  <c r="H19" i="15"/>
  <c r="G19" i="15"/>
  <c r="F19" i="15"/>
  <c r="H18" i="15"/>
  <c r="G18" i="15"/>
  <c r="F18" i="15"/>
  <c r="J17" i="15"/>
  <c r="G17" i="15" s="1"/>
  <c r="I15" i="15"/>
  <c r="F15" i="15"/>
  <c r="K14" i="15"/>
  <c r="J14" i="15"/>
  <c r="G14" i="15" s="1"/>
  <c r="E14" i="15"/>
  <c r="D14" i="15"/>
  <c r="G13" i="15"/>
  <c r="I13" i="15" s="1"/>
  <c r="F13" i="15"/>
  <c r="L12" i="15"/>
  <c r="F12" i="15"/>
  <c r="L11" i="15"/>
  <c r="F11" i="15"/>
  <c r="F10" i="15"/>
  <c r="H9" i="15"/>
  <c r="G9" i="15"/>
  <c r="F9" i="15"/>
  <c r="K8" i="15"/>
  <c r="J8" i="15"/>
  <c r="I7" i="15"/>
  <c r="F7" i="15"/>
  <c r="H5" i="15"/>
  <c r="F5" i="15"/>
  <c r="O111" i="14"/>
  <c r="J111" i="14"/>
  <c r="I111" i="14"/>
  <c r="G109" i="14"/>
  <c r="G111" i="14" s="1"/>
  <c r="E109" i="14"/>
  <c r="O108" i="14"/>
  <c r="N108" i="14"/>
  <c r="L108" i="14"/>
  <c r="K108" i="14"/>
  <c r="J108" i="14"/>
  <c r="I108" i="14"/>
  <c r="D108" i="14"/>
  <c r="E105" i="14"/>
  <c r="G104" i="14"/>
  <c r="G108" i="14" s="1"/>
  <c r="F104" i="14"/>
  <c r="F108" i="14" s="1"/>
  <c r="E104" i="14"/>
  <c r="O103" i="14"/>
  <c r="N103" i="14"/>
  <c r="L103" i="14"/>
  <c r="K103" i="14"/>
  <c r="J103" i="14"/>
  <c r="G101" i="14"/>
  <c r="H101" i="14" s="1"/>
  <c r="G100" i="14"/>
  <c r="H100" i="14" s="1"/>
  <c r="E100" i="14"/>
  <c r="O97" i="14"/>
  <c r="N97" i="14"/>
  <c r="L97" i="14"/>
  <c r="K97" i="14"/>
  <c r="J97" i="14"/>
  <c r="D97" i="14"/>
  <c r="C97" i="14"/>
  <c r="G96" i="14"/>
  <c r="F96" i="14"/>
  <c r="F97" i="14" s="1"/>
  <c r="E96" i="14"/>
  <c r="O93" i="14"/>
  <c r="N93" i="14"/>
  <c r="L93" i="14"/>
  <c r="K93" i="14"/>
  <c r="J93" i="14"/>
  <c r="F89" i="14"/>
  <c r="E89" i="14"/>
  <c r="F84" i="14"/>
  <c r="G80" i="14"/>
  <c r="H80" i="14" s="1"/>
  <c r="G79" i="14"/>
  <c r="H78" i="14"/>
  <c r="E78" i="14"/>
  <c r="G77" i="14"/>
  <c r="E74" i="14"/>
  <c r="E73" i="14"/>
  <c r="G69" i="14"/>
  <c r="F69" i="14"/>
  <c r="G67" i="14"/>
  <c r="H67" i="14" s="1"/>
  <c r="E67" i="14"/>
  <c r="G66" i="14"/>
  <c r="F66" i="14"/>
  <c r="G65" i="14"/>
  <c r="F65" i="14"/>
  <c r="O64" i="14"/>
  <c r="N64" i="14"/>
  <c r="L64" i="14"/>
  <c r="K64" i="14"/>
  <c r="J64" i="14"/>
  <c r="G63" i="14"/>
  <c r="G62" i="14"/>
  <c r="G61" i="14"/>
  <c r="H61" i="14" s="1"/>
  <c r="E61" i="14"/>
  <c r="G60" i="14"/>
  <c r="H60" i="14" s="1"/>
  <c r="G58" i="14"/>
  <c r="G57" i="14"/>
  <c r="H57" i="14" s="1"/>
  <c r="E57" i="14"/>
  <c r="G55" i="14"/>
  <c r="F55" i="14"/>
  <c r="F64" i="14" s="1"/>
  <c r="G54" i="14"/>
  <c r="H54" i="14" s="1"/>
  <c r="E54" i="14"/>
  <c r="H53" i="14"/>
  <c r="E53" i="14"/>
  <c r="G52" i="14"/>
  <c r="H52" i="14" s="1"/>
  <c r="E52" i="14"/>
  <c r="G50" i="14"/>
  <c r="H50" i="14" s="1"/>
  <c r="G49" i="14"/>
  <c r="H49" i="14" s="1"/>
  <c r="G48" i="14"/>
  <c r="H48" i="14" s="1"/>
  <c r="E47" i="14"/>
  <c r="G45" i="14"/>
  <c r="H45" i="14" s="1"/>
  <c r="E45" i="14"/>
  <c r="G44" i="14"/>
  <c r="E44" i="14"/>
  <c r="O40" i="14"/>
  <c r="N40" i="14"/>
  <c r="L40" i="14"/>
  <c r="K40" i="14"/>
  <c r="J40" i="14"/>
  <c r="F40" i="14"/>
  <c r="D40" i="14"/>
  <c r="C40" i="14"/>
  <c r="G39" i="14"/>
  <c r="E39" i="14"/>
  <c r="O38" i="14"/>
  <c r="N38" i="14"/>
  <c r="L38" i="14"/>
  <c r="K38" i="14"/>
  <c r="J38" i="14"/>
  <c r="I38" i="14"/>
  <c r="G33" i="14"/>
  <c r="F33" i="14"/>
  <c r="G32" i="14"/>
  <c r="F32" i="14"/>
  <c r="G31" i="14"/>
  <c r="F31" i="14"/>
  <c r="G30" i="14"/>
  <c r="E29" i="14"/>
  <c r="G28" i="14"/>
  <c r="H28" i="14" s="1"/>
  <c r="E28" i="14"/>
  <c r="O24" i="14"/>
  <c r="N24" i="14"/>
  <c r="L24" i="14"/>
  <c r="K24" i="14"/>
  <c r="J24" i="14"/>
  <c r="I24" i="14"/>
  <c r="D24" i="14"/>
  <c r="C24" i="14"/>
  <c r="G23" i="14"/>
  <c r="E23" i="14"/>
  <c r="G22" i="14"/>
  <c r="F22" i="14"/>
  <c r="G21" i="14"/>
  <c r="F21" i="14"/>
  <c r="G20" i="14"/>
  <c r="F20" i="14"/>
  <c r="F18" i="14"/>
  <c r="H17" i="14"/>
  <c r="E17" i="14"/>
  <c r="G16" i="14"/>
  <c r="E16" i="14"/>
  <c r="O15" i="14"/>
  <c r="N15" i="14"/>
  <c r="L15" i="14"/>
  <c r="K15" i="14"/>
  <c r="J15" i="14"/>
  <c r="I15" i="14"/>
  <c r="G15" i="14"/>
  <c r="F15" i="14"/>
  <c r="D15" i="14"/>
  <c r="C15" i="14"/>
  <c r="H14" i="14"/>
  <c r="H13" i="14"/>
  <c r="O12" i="14"/>
  <c r="N12" i="14"/>
  <c r="L12" i="14"/>
  <c r="K12" i="14"/>
  <c r="J12" i="14"/>
  <c r="I12" i="14"/>
  <c r="G12" i="14"/>
  <c r="F12" i="14"/>
  <c r="D12" i="14"/>
  <c r="C12" i="14"/>
  <c r="M11" i="14"/>
  <c r="E11" i="14"/>
  <c r="H10" i="14"/>
  <c r="E10" i="14"/>
  <c r="H9" i="14"/>
  <c r="E9" i="14"/>
  <c r="H35" i="17" l="1"/>
  <c r="C112" i="14"/>
  <c r="G40" i="14"/>
  <c r="I39" i="14"/>
  <c r="I40" i="14" s="1"/>
  <c r="F38" i="14"/>
  <c r="F72" i="14"/>
  <c r="H26" i="18"/>
  <c r="E26" i="18"/>
  <c r="F26" i="18" s="1"/>
  <c r="F15" i="18"/>
  <c r="F11" i="18"/>
  <c r="D26" i="18"/>
  <c r="J104" i="15"/>
  <c r="E104" i="15"/>
  <c r="G62" i="15"/>
  <c r="D104" i="15"/>
  <c r="H30" i="14"/>
  <c r="G38" i="14"/>
  <c r="G97" i="14"/>
  <c r="I96" i="14"/>
  <c r="I97" i="14" s="1"/>
  <c r="H79" i="14"/>
  <c r="I79" i="14"/>
  <c r="J112" i="14"/>
  <c r="K112" i="14"/>
  <c r="O112" i="14"/>
  <c r="L112" i="14"/>
  <c r="E43" i="14"/>
  <c r="J21" i="18"/>
  <c r="K26" i="18"/>
  <c r="I15" i="18"/>
  <c r="I21" i="18"/>
  <c r="F21" i="18"/>
  <c r="I17" i="18"/>
  <c r="F17" i="18"/>
  <c r="I11" i="18"/>
  <c r="F13" i="18"/>
  <c r="I13" i="18"/>
  <c r="J13" i="18"/>
  <c r="G34" i="17"/>
  <c r="F34" i="17"/>
  <c r="F22" i="17"/>
  <c r="F19" i="17"/>
  <c r="F15" i="17"/>
  <c r="F11" i="17"/>
  <c r="F41" i="15"/>
  <c r="H21" i="15"/>
  <c r="H30" i="15"/>
  <c r="I50" i="15"/>
  <c r="F32" i="15"/>
  <c r="I54" i="15"/>
  <c r="H103" i="15"/>
  <c r="I101" i="15"/>
  <c r="I45" i="15"/>
  <c r="G44" i="15"/>
  <c r="I63" i="15"/>
  <c r="I67" i="15"/>
  <c r="I70" i="15"/>
  <c r="I77" i="15"/>
  <c r="I99" i="15"/>
  <c r="F103" i="15"/>
  <c r="I37" i="15"/>
  <c r="I43" i="15"/>
  <c r="I59" i="15"/>
  <c r="F78" i="15"/>
  <c r="I39" i="15"/>
  <c r="G82" i="15"/>
  <c r="I82" i="15" s="1"/>
  <c r="I27" i="15"/>
  <c r="F21" i="15"/>
  <c r="I10" i="15"/>
  <c r="F14" i="15"/>
  <c r="H8" i="15"/>
  <c r="I19" i="15"/>
  <c r="I12" i="15"/>
  <c r="F8" i="15"/>
  <c r="I9" i="15"/>
  <c r="H14" i="15"/>
  <c r="G32" i="15"/>
  <c r="I47" i="15"/>
  <c r="I52" i="15"/>
  <c r="F57" i="15"/>
  <c r="I91" i="15"/>
  <c r="I98" i="15"/>
  <c r="G100" i="15"/>
  <c r="I5" i="15"/>
  <c r="G30" i="15"/>
  <c r="G57" i="15"/>
  <c r="I88" i="15"/>
  <c r="L14" i="15"/>
  <c r="I33" i="15"/>
  <c r="I38" i="15"/>
  <c r="I56" i="15"/>
  <c r="G78" i="15"/>
  <c r="I79" i="15"/>
  <c r="H86" i="15"/>
  <c r="H77" i="14"/>
  <c r="H44" i="14"/>
  <c r="H55" i="14"/>
  <c r="F93" i="14"/>
  <c r="E49" i="14"/>
  <c r="E40" i="14"/>
  <c r="H111" i="14"/>
  <c r="H12" i="14"/>
  <c r="H40" i="14"/>
  <c r="G73" i="14"/>
  <c r="H73" i="14" s="1"/>
  <c r="G74" i="14"/>
  <c r="H74" i="14" s="1"/>
  <c r="E97" i="14"/>
  <c r="E111" i="14"/>
  <c r="E38" i="14"/>
  <c r="E60" i="14"/>
  <c r="E72" i="14"/>
  <c r="E108" i="14"/>
  <c r="E24" i="14"/>
  <c r="H15" i="14"/>
  <c r="E15" i="14"/>
  <c r="G94" i="15"/>
  <c r="H94" i="15"/>
  <c r="I11" i="15"/>
  <c r="F17" i="15"/>
  <c r="I20" i="15"/>
  <c r="I24" i="15"/>
  <c r="I28" i="15"/>
  <c r="I31" i="15"/>
  <c r="H32" i="15"/>
  <c r="H44" i="15"/>
  <c r="I49" i="15"/>
  <c r="I53" i="15"/>
  <c r="I64" i="15"/>
  <c r="I68" i="15"/>
  <c r="G72" i="15"/>
  <c r="I80" i="15"/>
  <c r="I95" i="15"/>
  <c r="L15" i="15"/>
  <c r="I18" i="15"/>
  <c r="I26" i="15"/>
  <c r="F30" i="15"/>
  <c r="G34" i="15"/>
  <c r="I34" i="15" s="1"/>
  <c r="I41" i="15"/>
  <c r="I42" i="15"/>
  <c r="I46" i="15"/>
  <c r="I51" i="15"/>
  <c r="I60" i="15"/>
  <c r="I66" i="15"/>
  <c r="I76" i="15"/>
  <c r="F86" i="15"/>
  <c r="I87" i="15"/>
  <c r="F94" i="15"/>
  <c r="K17" i="15"/>
  <c r="L17" i="15" s="1"/>
  <c r="I25" i="15"/>
  <c r="I29" i="15"/>
  <c r="I65" i="15"/>
  <c r="I69" i="15"/>
  <c r="H72" i="15"/>
  <c r="F72" i="15"/>
  <c r="I75" i="15"/>
  <c r="H78" i="15"/>
  <c r="I81" i="15"/>
  <c r="I97" i="15"/>
  <c r="H100" i="15"/>
  <c r="I102" i="15"/>
  <c r="G103" i="15"/>
  <c r="L103" i="15"/>
  <c r="G17" i="16"/>
  <c r="G19" i="16" s="1"/>
  <c r="F19" i="16"/>
  <c r="G33" i="16"/>
  <c r="G34" i="16" s="1"/>
  <c r="F36" i="16"/>
  <c r="F34" i="16"/>
  <c r="I16" i="16"/>
  <c r="I23" i="16"/>
  <c r="I35" i="16"/>
  <c r="I36" i="16" s="1"/>
  <c r="G36" i="16" s="1"/>
  <c r="F10" i="16"/>
  <c r="F99" i="16"/>
  <c r="G13" i="16"/>
  <c r="G16" i="16" s="1"/>
  <c r="F16" i="16"/>
  <c r="I40" i="16"/>
  <c r="G40" i="16" s="1"/>
  <c r="I10" i="16"/>
  <c r="F45" i="16"/>
  <c r="I58" i="16"/>
  <c r="G58" i="16" s="1"/>
  <c r="I94" i="16"/>
  <c r="G94" i="16" s="1"/>
  <c r="G23" i="16"/>
  <c r="F32" i="16"/>
  <c r="F42" i="16"/>
  <c r="F58" i="16"/>
  <c r="I32" i="16"/>
  <c r="F40" i="16"/>
  <c r="I45" i="16"/>
  <c r="G45" i="16" s="1"/>
  <c r="F102" i="16"/>
  <c r="G42" i="16"/>
  <c r="I72" i="16"/>
  <c r="F72" i="16"/>
  <c r="I78" i="16"/>
  <c r="G78" i="16" s="1"/>
  <c r="I86" i="16"/>
  <c r="G86" i="16" s="1"/>
  <c r="F23" i="16"/>
  <c r="F62" i="16"/>
  <c r="F78" i="16"/>
  <c r="F86" i="16"/>
  <c r="G7" i="16"/>
  <c r="G38" i="16"/>
  <c r="G46" i="16"/>
  <c r="G59" i="16"/>
  <c r="F94" i="16"/>
  <c r="I99" i="16"/>
  <c r="I102" i="16"/>
  <c r="M103" i="16"/>
  <c r="L103" i="16"/>
  <c r="H97" i="14"/>
  <c r="F24" i="14"/>
  <c r="H39" i="14"/>
  <c r="E48" i="14"/>
  <c r="E50" i="14"/>
  <c r="E103" i="14"/>
  <c r="I99" i="14"/>
  <c r="I103" i="14" s="1"/>
  <c r="G24" i="14"/>
  <c r="I80" i="14"/>
  <c r="I84" i="14" s="1"/>
  <c r="E80" i="14"/>
  <c r="H96" i="14"/>
  <c r="E101" i="14"/>
  <c r="H109" i="14"/>
  <c r="H29" i="14"/>
  <c r="E68" i="14"/>
  <c r="G89" i="14"/>
  <c r="H89" i="14" s="1"/>
  <c r="I89" i="14"/>
  <c r="I93" i="14" s="1"/>
  <c r="N112" i="14"/>
  <c r="K12" i="18"/>
  <c r="G18" i="17"/>
  <c r="G19" i="17" s="1"/>
  <c r="G41" i="16"/>
  <c r="G63" i="16"/>
  <c r="G88" i="16"/>
  <c r="G95" i="16"/>
  <c r="G99" i="16" s="1"/>
  <c r="G101" i="16"/>
  <c r="G102" i="16" s="1"/>
  <c r="J86" i="15"/>
  <c r="G86" i="15" s="1"/>
  <c r="G83" i="15"/>
  <c r="I83" i="15" s="1"/>
  <c r="L8" i="15"/>
  <c r="G21" i="15"/>
  <c r="F39" i="15"/>
  <c r="F44" i="15"/>
  <c r="H57" i="15"/>
  <c r="F34" i="15"/>
  <c r="I40" i="15"/>
  <c r="F100" i="15"/>
  <c r="G8" i="15"/>
  <c r="H108" i="14"/>
  <c r="E12" i="14"/>
  <c r="M12" i="14"/>
  <c r="H16" i="14"/>
  <c r="G47" i="14"/>
  <c r="G64" i="14" s="1"/>
  <c r="H64" i="14" s="1"/>
  <c r="G68" i="14"/>
  <c r="H68" i="14" s="1"/>
  <c r="E93" i="14"/>
  <c r="E99" i="14"/>
  <c r="G99" i="14"/>
  <c r="G103" i="14" s="1"/>
  <c r="H104" i="14"/>
  <c r="J26" i="18" l="1"/>
  <c r="G10" i="16"/>
  <c r="I103" i="16"/>
  <c r="I30" i="15"/>
  <c r="I78" i="15"/>
  <c r="G104" i="15"/>
  <c r="I112" i="14"/>
  <c r="F112" i="14"/>
  <c r="D112" i="14"/>
  <c r="E112" i="14" s="1"/>
  <c r="I26" i="18"/>
  <c r="F35" i="17"/>
  <c r="G32" i="16"/>
  <c r="I103" i="15"/>
  <c r="I21" i="15"/>
  <c r="I100" i="15"/>
  <c r="I72" i="15"/>
  <c r="I44" i="15"/>
  <c r="I57" i="15"/>
  <c r="I86" i="15"/>
  <c r="I32" i="15"/>
  <c r="I14" i="15"/>
  <c r="H17" i="15"/>
  <c r="I17" i="15" s="1"/>
  <c r="I62" i="15"/>
  <c r="G84" i="14"/>
  <c r="H84" i="14" s="1"/>
  <c r="G72" i="14"/>
  <c r="H72" i="14" s="1"/>
  <c r="M112" i="14"/>
  <c r="H38" i="14"/>
  <c r="H24" i="14"/>
  <c r="G93" i="14"/>
  <c r="H93" i="14" s="1"/>
  <c r="I94" i="15"/>
  <c r="F104" i="15"/>
  <c r="G35" i="16"/>
  <c r="F103" i="16"/>
  <c r="I8" i="15"/>
  <c r="H103" i="14"/>
  <c r="H99" i="14"/>
  <c r="H47" i="14"/>
  <c r="G103" i="16" l="1"/>
  <c r="H104" i="15"/>
  <c r="I104" i="15" s="1"/>
  <c r="G112" i="14"/>
  <c r="H112" i="14" s="1"/>
  <c r="L104" i="15"/>
  <c r="F28" i="3" l="1"/>
  <c r="G29" i="6" l="1"/>
  <c r="E14" i="3" l="1"/>
  <c r="F22" i="3"/>
  <c r="F20" i="5" l="1"/>
  <c r="E20" i="5"/>
  <c r="G17" i="5"/>
  <c r="E37" i="6" l="1"/>
  <c r="G37" i="6" s="1"/>
  <c r="G16" i="6"/>
  <c r="D24" i="3"/>
  <c r="G19" i="5" l="1"/>
  <c r="F23" i="3" l="1"/>
  <c r="E15" i="7" l="1"/>
  <c r="E14" i="7"/>
  <c r="E13" i="7"/>
  <c r="E12" i="7"/>
  <c r="G16" i="5"/>
  <c r="F25" i="3"/>
  <c r="E24" i="3"/>
  <c r="E13" i="3"/>
  <c r="D13" i="3"/>
  <c r="F12" i="3"/>
  <c r="F11" i="3"/>
  <c r="F14" i="3" l="1"/>
  <c r="G20" i="5"/>
  <c r="F24" i="3"/>
</calcChain>
</file>

<file path=xl/sharedStrings.xml><?xml version="1.0" encoding="utf-8"?>
<sst xmlns="http://schemas.openxmlformats.org/spreadsheetml/2006/main" count="1049" uniqueCount="505">
  <si>
    <t>Zał. Nr 1</t>
  </si>
  <si>
    <t>WYKONANIE DOCHODÓW BUDŻETOWYCH</t>
  </si>
  <si>
    <t>Dział</t>
  </si>
  <si>
    <t>Źródło dochodów</t>
  </si>
  <si>
    <t>Ogółem</t>
  </si>
  <si>
    <t>Plan</t>
  </si>
  <si>
    <t>Wykonanie</t>
  </si>
  <si>
    <t>% real.</t>
  </si>
  <si>
    <t>dotacje</t>
  </si>
  <si>
    <t>środki europejskie i inne środki pochodzące ze źródeł zagranicznych, niepodlegające zwrotowi</t>
  </si>
  <si>
    <t>majątkowe</t>
  </si>
  <si>
    <t>w tym:</t>
  </si>
  <si>
    <t>bieżące</t>
  </si>
  <si>
    <t>z tego:</t>
  </si>
  <si>
    <t>Wpływy z różnych dochodów</t>
  </si>
  <si>
    <t>Wpływy z najmu i dzierżawy składników majątkowych Skarbu Państwa, jednostek samorządu terytorialnego lub innych jednostek zaliczanych do sektora finansów publicznych oraz innych umów o podobnym
charakterze</t>
  </si>
  <si>
    <t>010</t>
  </si>
  <si>
    <t>ROLNICTWO I ŁOWIECTWO</t>
  </si>
  <si>
    <t>Środki na dofinansowanie własnych inwestycji gmin, powiatów (związków gmin, związków powiatowo-gminnych, związków powiatów), samorządów województw, pozyskane z innych źródeł</t>
  </si>
  <si>
    <t>600</t>
  </si>
  <si>
    <t>TRANSPORT I ŁĄCZNOŚĆ</t>
  </si>
  <si>
    <t>Wpływy z opłat z tytułu użytkowania wieczystego nieruchomości</t>
  </si>
  <si>
    <t>700</t>
  </si>
  <si>
    <t>GOSPODARKA MIESZKANIOWA</t>
  </si>
  <si>
    <t>Wpływy z usług</t>
  </si>
  <si>
    <t>750</t>
  </si>
  <si>
    <t>751</t>
  </si>
  <si>
    <t>URZĘDY NACZELNYCH ORGANÓW WŁADZY PAŃSTWOWEJ, KONTROLI I OCHRONY PRAWA ORAZ SĄDOWNICTWA</t>
  </si>
  <si>
    <t>754</t>
  </si>
  <si>
    <t>BEZPIECZEŃSTWO PUBLICZNE I OCHRONA PRZECIWPOŻAROWA</t>
  </si>
  <si>
    <t>Wpływy z podatku dochodowego od osób fizycznych</t>
  </si>
  <si>
    <t>Wpływy z podatku dochodowego od osób prawnych</t>
  </si>
  <si>
    <t>Wpływy z podatku od nieruchomości</t>
  </si>
  <si>
    <t>Wpływy z podatku rolnego</t>
  </si>
  <si>
    <t>Wpływy z podatku leśnego</t>
  </si>
  <si>
    <t>Wpływy z podatku od środków transportowych</t>
  </si>
  <si>
    <t>Wpływy z podatku od działalności gospodarczej osób fizycznych, opłacanego w formie karty podatkowej</t>
  </si>
  <si>
    <t>Wpływy z podatku od spadków i darowizn</t>
  </si>
  <si>
    <t>Wpływy z opłaty skarbowej</t>
  </si>
  <si>
    <t>Wpływy z opłaty targowej</t>
  </si>
  <si>
    <t>Wpływy z opłat za zezwolenia na sprzedaż napojów alkoholowych</t>
  </si>
  <si>
    <t>Wpływy z innych lokalnych opłat pobieranych przez jednostki samorządu terytorialnego na podstawie odrębnych ustaw</t>
  </si>
  <si>
    <t>Wpływy z podatku od czynności cywilnoprawnych</t>
  </si>
  <si>
    <t>Wpływy z odsetek od nieterminowych wpłat z tytułu podatków i opłat</t>
  </si>
  <si>
    <t>756</t>
  </si>
  <si>
    <t>DOCHODY OD OSÓB PRAWNYCH, OD OSÓB FIZYCZNYCH I OD INNYCH JEDNOSTEK NIEPOSIADAJĄCYCH OSOBOWOŚCI PRAWNEJ ORAZ WYDATKI ZWIĄZANE Z ICH POBOREM</t>
  </si>
  <si>
    <t>Wpływy z pozostałych odsetek</t>
  </si>
  <si>
    <t>Subwencje ogólne z budżetu państwa</t>
  </si>
  <si>
    <t>758</t>
  </si>
  <si>
    <t>RÓŻNE ROZLICZENIA</t>
  </si>
  <si>
    <t>Wpływy z opłat za korzystanie z wychowania przedszkolnego</t>
  </si>
  <si>
    <t>Wpływy z opłat za korzystanie z wyżywienia w jednostkach realizujących zadania z zakresu wychowania przedszkolnego</t>
  </si>
  <si>
    <t>Dotacje celowe otrzymane z budżetu państwa na realizację własnych zadań bieżących gmin (związków gmin, związków powiatowo-gminnych)</t>
  </si>
  <si>
    <t>801</t>
  </si>
  <si>
    <t>OŚWIATA I WYCHOWANIE</t>
  </si>
  <si>
    <t>Dotacje celowe otrzymane z budżetu państwa na zadania bieżące z zakresu administracji rządowej zlecone gminom (związkom gmin, związkom powiatowo-gminnym), związane z realizacją świadczenia wychowawczego stanowiącego pomoc państwa w wychowywaniu dzieci</t>
  </si>
  <si>
    <t>Dochody jednostek samorządu terytorialnego związane z realizacją zadań z zakresu administracji rządowej oraz innych zadań zleconych ustawami</t>
  </si>
  <si>
    <t>852</t>
  </si>
  <si>
    <t>POMOC SPOŁECZNA</t>
  </si>
  <si>
    <t>854</t>
  </si>
  <si>
    <t>EDUKACYJNA OPIEKA WYCHOWAWCZA</t>
  </si>
  <si>
    <t>900</t>
  </si>
  <si>
    <t>GOSPODARKA KOMUNALNA I OCHRONA ŚRODOWISKA</t>
  </si>
  <si>
    <t>OGÓŁEM</t>
  </si>
  <si>
    <t>Zał. Nr 2</t>
  </si>
  <si>
    <t xml:space="preserve">WYKONANIE WYDATKÓW BUDŻETOWYCH  </t>
  </si>
  <si>
    <t>Wydatki bieżące</t>
  </si>
  <si>
    <t>Wydatki majątkowe</t>
  </si>
  <si>
    <t>Rozdział</t>
  </si>
  <si>
    <t>Kwota planu</t>
  </si>
  <si>
    <t>% realiz.</t>
  </si>
  <si>
    <t>01010</t>
  </si>
  <si>
    <t>Infrastruktura wodociągowa i sanitacyjna wsi</t>
  </si>
  <si>
    <t>01030</t>
  </si>
  <si>
    <t>Izby rolnicze</t>
  </si>
  <si>
    <t>01038</t>
  </si>
  <si>
    <t>Rozwój obszarów wiejskich</t>
  </si>
  <si>
    <t>01041</t>
  </si>
  <si>
    <t>01095</t>
  </si>
  <si>
    <t>Pozostała działalność</t>
  </si>
  <si>
    <t>60011</t>
  </si>
  <si>
    <t>Drogi publiczne krajowe</t>
  </si>
  <si>
    <t>60013</t>
  </si>
  <si>
    <t xml:space="preserve">Drogi publiczne wojewódzkie </t>
  </si>
  <si>
    <t>60016</t>
  </si>
  <si>
    <t>Drogi publiczne gminne</t>
  </si>
  <si>
    <t>70005</t>
  </si>
  <si>
    <t>Gospodarka gruntami i nieruchomościami</t>
  </si>
  <si>
    <t>71004</t>
  </si>
  <si>
    <t>Plany zagospodarowania przestrzennego</t>
  </si>
  <si>
    <t>71015</t>
  </si>
  <si>
    <t>Nadzór budowlany</t>
  </si>
  <si>
    <t>710</t>
  </si>
  <si>
    <t>DZIAŁALNOŚĆ USŁUGOWA</t>
  </si>
  <si>
    <t>75011</t>
  </si>
  <si>
    <t>Urzędy wojewódzkie</t>
  </si>
  <si>
    <t>75022</t>
  </si>
  <si>
    <t>75023</t>
  </si>
  <si>
    <t>Urzędy gmin</t>
  </si>
  <si>
    <t>75075</t>
  </si>
  <si>
    <t>Promocja jednostek samorządu terytorialnego</t>
  </si>
  <si>
    <t>75095</t>
  </si>
  <si>
    <t>ADMINISTRACJA PUBLICZNA</t>
  </si>
  <si>
    <t>75101</t>
  </si>
  <si>
    <t>Urzędy naczelnych organów władzy państwowej</t>
  </si>
  <si>
    <t>752</t>
  </si>
  <si>
    <t>OBRONA NARODOWA</t>
  </si>
  <si>
    <t>75412</t>
  </si>
  <si>
    <t>Ochotnicze straże pożarne</t>
  </si>
  <si>
    <t>75495</t>
  </si>
  <si>
    <t>75702</t>
  </si>
  <si>
    <t>Obsługa papierów wartościowych, kredytów i pożyczek jednostek samorządu terytorialnego</t>
  </si>
  <si>
    <t>757</t>
  </si>
  <si>
    <t>OBSŁUGA DŁUGU PUBLICZNEGO</t>
  </si>
  <si>
    <t>75814</t>
  </si>
  <si>
    <t>Różne rozliczenia finansowe</t>
  </si>
  <si>
    <t>75818</t>
  </si>
  <si>
    <t>Rezerwy ogólne i celowe</t>
  </si>
  <si>
    <t>80101</t>
  </si>
  <si>
    <t>Szkoły podstawowe</t>
  </si>
  <si>
    <t>80103</t>
  </si>
  <si>
    <t>Oddziały przedszkolne w szkołach podstawowych</t>
  </si>
  <si>
    <t>80104</t>
  </si>
  <si>
    <t>Przedszkola</t>
  </si>
  <si>
    <t>80113</t>
  </si>
  <si>
    <t>Dowóz uczniów do szkół</t>
  </si>
  <si>
    <t>80145</t>
  </si>
  <si>
    <t>Komisje egzaminacyjne</t>
  </si>
  <si>
    <t>80146</t>
  </si>
  <si>
    <t>Dokształcanie i doskonalenie nauczycieli</t>
  </si>
  <si>
    <t>80148</t>
  </si>
  <si>
    <t>80149</t>
  </si>
  <si>
    <t>Realizacja zadań wymagających stosowania specjalnej organizacji nauki i metod pracy dla dzieci w szkołach, oddziałach przedszkolnych w szkołach podstawowych i innych formach wychowania przedszkolnego</t>
  </si>
  <si>
    <t>80150</t>
  </si>
  <si>
    <t>80195</t>
  </si>
  <si>
    <t>85153</t>
  </si>
  <si>
    <t>Zwalczanie narkomanii</t>
  </si>
  <si>
    <t>85154</t>
  </si>
  <si>
    <t>Przeciwdziałanie alkoholizmowi</t>
  </si>
  <si>
    <t>851</t>
  </si>
  <si>
    <t>OCHRONA ZDROWIA</t>
  </si>
  <si>
    <t>Rodziny zastępcze</t>
  </si>
  <si>
    <t>85205</t>
  </si>
  <si>
    <t>Wspieranie rodziny</t>
  </si>
  <si>
    <t>85213</t>
  </si>
  <si>
    <t>Składki na ubezpieczenia zdrowotne opłacane za osoby pobierające niektóre świadczenia z pomocy społecznej, niektóre świadczenia rodzinne oraz za osoby uczestniczące w zajęciach w centrum integracji społecznej</t>
  </si>
  <si>
    <t>85214</t>
  </si>
  <si>
    <t>85215</t>
  </si>
  <si>
    <t>Dodatki mieszkaniowe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</si>
  <si>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</si>
  <si>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</si>
  <si>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</si>
  <si>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</si>
  <si>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</si>
  <si>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</si>
  <si>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85295</t>
  </si>
  <si>
    <t>Świetlice szkolne</t>
  </si>
  <si>
    <t>85415</t>
  </si>
  <si>
    <t>85446</t>
  </si>
  <si>
    <t>85495</t>
  </si>
  <si>
    <t>90003</t>
  </si>
  <si>
    <t>Oczyszczanie miast i wsi</t>
  </si>
  <si>
    <t>90004</t>
  </si>
  <si>
    <t>Utrzymanie zieleni w miastach i gminach</t>
  </si>
  <si>
    <t>90015</t>
  </si>
  <si>
    <t>Oświetlenie ulic, placów i dróg</t>
  </si>
  <si>
    <t>90095</t>
  </si>
  <si>
    <t>92116</t>
  </si>
  <si>
    <t>Biblioteki</t>
  </si>
  <si>
    <t>92120</t>
  </si>
  <si>
    <t>Ochrona zabytków i opieka nad zabytkami</t>
  </si>
  <si>
    <t>92195</t>
  </si>
  <si>
    <t>921</t>
  </si>
  <si>
    <t>KULTURA I OCHRONA DZIEDZIECTWA NARODOWEGO</t>
  </si>
  <si>
    <t>92601</t>
  </si>
  <si>
    <t>Obiekty sportowe</t>
  </si>
  <si>
    <t>92605</t>
  </si>
  <si>
    <t>Zadania w zakresie kultury fizycznej i sportu</t>
  </si>
  <si>
    <t>926</t>
  </si>
  <si>
    <t>KULTURA FIZYCZNA</t>
  </si>
  <si>
    <t>Zał. Nr 2a</t>
  </si>
  <si>
    <t>WYKONANIE WYDATKÓW BIEŻĄCYCH</t>
  </si>
  <si>
    <t>Nazwa działu i rozdziału</t>
  </si>
  <si>
    <t>Wydatki jednostek budżetowych</t>
  </si>
  <si>
    <t>Dotacje na zadania bieżące</t>
  </si>
  <si>
    <t>Świadczenia na rzecz osób fizycznych</t>
  </si>
  <si>
    <t>Na programy z udziałem środków, o których mowa w art. 5 ust. 1 pkt 2 i 3 u.o.f.p.</t>
  </si>
  <si>
    <t>Wypłaty z tytułu poręczeń i gwarancji</t>
  </si>
  <si>
    <t>Obsługa długu</t>
  </si>
  <si>
    <t>na wynagrodzenia i składki od nich naliczane</t>
  </si>
  <si>
    <t>związane z realizacją ich statutowych zadań</t>
  </si>
  <si>
    <t>Drogi publiczne wojewódzkie</t>
  </si>
  <si>
    <t>Gospodarka mieszkaniowa</t>
  </si>
  <si>
    <t>GOSPODARKA GRUNTAMI I NIERUCHOMOŚCIAMI</t>
  </si>
  <si>
    <t>Plany zagospodarowania 
przestrzennego</t>
  </si>
  <si>
    <t>Rady gmin</t>
  </si>
  <si>
    <t>Urzędy naczelnych organów władzy państwowej, kontroli i ochrony prawa</t>
  </si>
  <si>
    <t>URZĘDY NACZELNYCH ORGANÓW 
WŁADZY PAŃSTWOWEJ, KONTROLI I OCHRONY PRAWA ORAZ SĄDOWNICTWA</t>
  </si>
  <si>
    <t>OBSŁUGA DŁUGU 
PUBLICZNEGO</t>
  </si>
  <si>
    <t>Dowożenie uczniów do szkół</t>
  </si>
  <si>
    <t>Stołówki szkolne i przedszkolne</t>
  </si>
  <si>
    <t>Zadania w zakresie przeciwdziałania przemocy w rodzinie</t>
  </si>
  <si>
    <t>GOSPODARKA KOMUNALNA 
I OCHRONA ŚRODOWISKA</t>
  </si>
  <si>
    <t>KULTURA I OCHRONA
DZIEDZICTWA NARODOWEGO</t>
  </si>
  <si>
    <t>Zadania w zakresie kultury fizycznej
i sportu</t>
  </si>
  <si>
    <t>WYKONANIE WYDATKÓW MAJĄTKOWYCH</t>
  </si>
  <si>
    <t>Zał. Nr 2b</t>
  </si>
  <si>
    <t>Inwestycje i zakupy inwestycyjne</t>
  </si>
  <si>
    <t>w tym na:</t>
  </si>
  <si>
    <t>Zakup i objęcie akcji i udziałów</t>
  </si>
  <si>
    <t>Wniesienie wkładów do spółek prawa handlowego</t>
  </si>
  <si>
    <t>Dotacje</t>
  </si>
  <si>
    <t xml:space="preserve">programy finansowane z udziałem środków europejskich i innych środków pochodzących ze śródeł zagranicznych niepodlegających zwrotowi </t>
  </si>
  <si>
    <t xml:space="preserve">Plan </t>
  </si>
  <si>
    <t>Program Rozwoju Obszarów 
Wiejskich 2007-2013</t>
  </si>
  <si>
    <t xml:space="preserve">Wykonanie przychodów i rozchodów budżetu </t>
  </si>
  <si>
    <t>Lp.</t>
  </si>
  <si>
    <t>Treść</t>
  </si>
  <si>
    <t>Klasyfikacja
§</t>
  </si>
  <si>
    <t>% realizacji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</si>
  <si>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</si>
  <si>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</si>
  <si>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</si>
  <si>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</si>
  <si>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</si>
  <si>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</si>
  <si>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</si>
  <si>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</si>
  <si>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</si>
  <si>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</si>
  <si>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</si>
  <si>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</si>
  <si>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</si>
  <si>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</si>
  <si>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</si>
  <si>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</si>
  <si>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</si>
  <si>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</si>
  <si>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</si>
  <si>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</si>
  <si>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</si>
  <si>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</si>
  <si>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</si>
  <si>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</si>
  <si>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Inne źródła (wolne środki)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</si>
  <si>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</si>
  <si>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</si>
  <si>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</si>
  <si>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</si>
  <si>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</si>
  <si>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</si>
  <si>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</si>
  <si>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</si>
  <si>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</si>
  <si>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</si>
  <si>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</si>
  <si>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</si>
  <si>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</si>
  <si>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</si>
  <si>
    <t>Zał. Nr 4</t>
  </si>
  <si>
    <t>Wykonanie dochodów i wydatków związanych z realizacją zadań z zakresu administracji rządowej i innych zleconych odrębnymi ustawami</t>
  </si>
  <si>
    <t>Nazwa zadania</t>
  </si>
  <si>
    <t xml:space="preserve">Dotacje
</t>
  </si>
  <si>
    <t xml:space="preserve">
Wydatki
</t>
  </si>
  <si>
    <t>wydatki bieżące</t>
  </si>
  <si>
    <t>wydatki majątkowe</t>
  </si>
  <si>
    <t>Świadczenie wychowawcze</t>
  </si>
  <si>
    <t>Wykonanie dotacji podmiotowych</t>
  </si>
  <si>
    <t>Nazwa instytucji</t>
  </si>
  <si>
    <t>Kwota dotacji</t>
  </si>
  <si>
    <t>Niepubliczne Przedszkole "Koszałek-Opałek" 
w Rożcach</t>
  </si>
  <si>
    <t>Gminna Biblioteka Publiczna 
w Belsku Dużym</t>
  </si>
  <si>
    <t xml:space="preserve">Wykonanie dotacji celowych dla podmiotów zaliczanych i niezaliczanych
do sektora finansów publicznych </t>
  </si>
  <si>
    <t>Kwota 
dotacji</t>
  </si>
  <si>
    <t>Podmioty zaliczane do sektora finansów publicznych</t>
  </si>
  <si>
    <t>Starostwo Powiatowe w Grójcu</t>
  </si>
  <si>
    <t>92105</t>
  </si>
  <si>
    <t>Działalność wspomagająca rozwój wspólnot i społeczności lokalnych</t>
  </si>
  <si>
    <t>Działalność na rzecz osób w wieku emerytalnym</t>
  </si>
  <si>
    <t>Wykonanie planu przychodów i kosztów zakładów budżetowych</t>
  </si>
  <si>
    <t>Nazwa</t>
  </si>
  <si>
    <t>Fundusz obrotowy na początek roku</t>
  </si>
  <si>
    <t>Przychody</t>
  </si>
  <si>
    <t>Koszty</t>
  </si>
  <si>
    <t>Fundusz obrotowy na koniec roku</t>
  </si>
  <si>
    <t>Zał. Nr 9</t>
  </si>
  <si>
    <t>Pożyczki na finansowanie zadań realizowanych z udziałem środków pochodzących z budżetu UE</t>
  </si>
  <si>
    <t>Pozostałe zadania w zakresie kultury</t>
  </si>
  <si>
    <t>Realizacja zadań wymagających stosowania specjalnej organizacji
 nauki i metod pracy dla dzieci i młodzieży w szkołach podstawowych, gimnazjach, liceach ogólnokształcących, liceach profilowanych i szkołach zawodowych oraz szkołach artystycznych</t>
  </si>
  <si>
    <t>Wpływy do wyjaśnienia</t>
  </si>
  <si>
    <t>Urząd Gminy w Grójcu</t>
  </si>
  <si>
    <t>855</t>
  </si>
  <si>
    <t>RODZINA</t>
  </si>
  <si>
    <t>85501</t>
  </si>
  <si>
    <t>85502</t>
  </si>
  <si>
    <t>85503</t>
  </si>
  <si>
    <t>Świadczenia rodzinne, świadczenie z funduszu alimentacyjnego oraz składki na ubezpieczenia emerytalne i rentowe z ubezpieczenia społecznego</t>
  </si>
  <si>
    <t>Karta Dużej Rodziny</t>
  </si>
  <si>
    <t>75085</t>
  </si>
  <si>
    <t>Wspólna obsługa jednostek samorządu terytorialnego</t>
  </si>
  <si>
    <t>Zasiłki okresowe, celowe i pomoc w naturze oraz składki na ubezpieczenia emerytalne i rentowe</t>
  </si>
  <si>
    <t>85230</t>
  </si>
  <si>
    <t>Pomoc w zakresie dożywiania</t>
  </si>
  <si>
    <t>Pomoc materialna dla uczniów o charakterze socjalnym</t>
  </si>
  <si>
    <t>85504</t>
  </si>
  <si>
    <t>85508</t>
  </si>
  <si>
    <t>Świadczenia rodzinne, świadczenia z funduszu alimentacyjnego oraz składki na ubezpieczenia emerytalne i rentowe z ubezpieczenia społecznego</t>
  </si>
  <si>
    <t>Wpływy z tytułu odszkodowania za przejęte nieruchomości pod inwestycje celu publicznego</t>
  </si>
  <si>
    <t>Wpływy z rozliczeń/zwrotów z lat ubieglych</t>
  </si>
  <si>
    <t>Wpływy z tytułu kosztów egzekucyjnych, opłaty komorniczej i kosztów upomnień</t>
  </si>
  <si>
    <t>Wpływy ze zwrotów niewykorzystanych dotacji oraz płatności</t>
  </si>
  <si>
    <t>Samodzielny Publiczny Zakład Opieki Zdrowotnej "BELMED" w Belsku Dużym</t>
  </si>
  <si>
    <t>Nazwa zadania - Podmioty niezaliczane do sektora finansów publicznych</t>
  </si>
  <si>
    <t>75215</t>
  </si>
  <si>
    <t>Realizacja zadań wymagających stosowania specjalnej organizacji nauki i metod pracy dla dzieci i młodzieży w szkołach podstawowych</t>
  </si>
  <si>
    <t>Dotacje celowe otrzymane z budżetu państwa na realizację zadań bieżących z zakresu administracji rządowej oraz innych zadań zleconych gminie (związkom gmin, związkom powiatowo-gminnym) ustawami</t>
  </si>
  <si>
    <t>Wpływy z róznych opłat</t>
  </si>
  <si>
    <t>Dotacje celowe otrzymane z budżetu państwa na realizację własnych zadań bieżących gmin (zwiazków gmin, związków powiatowo-gminnych)</t>
  </si>
  <si>
    <t>Wpływy z najmu i dzierżawy składników majątkowych Skarbu Państwa, jednostek samorządu terytorialnego lub innych jednostek zaliczanych do sektora finansów publicznych oraz innych umów o podobnym charakterze</t>
  </si>
  <si>
    <t>71095</t>
  </si>
  <si>
    <t>Rady Gmin (miast i miast na prawach powiatu)</t>
  </si>
  <si>
    <t>80153</t>
  </si>
  <si>
    <t>Zapewnienie uczniom prawa do bezpłatnego dostępu do podręczników, materiałów edukacyjnych lub materiałów ćwiczeniowych</t>
  </si>
  <si>
    <t>85513</t>
  </si>
  <si>
    <t>Składki na ubezpieczenie zdrowotne opłacane za osoby pobierające niektóre świadczenia rodzinne, zgodnie z przepisami ustawy o świadczeniach rodzinnych oraz za osoby pobierające zasiłki dla opiekunów, zgodnie z przepisami ustawy z dnia 4 kwietnia 2014 r. o ustaleniu i wypłacie zasiłków dla opiekunów</t>
  </si>
  <si>
    <t>Wpływy z różnych opłat</t>
  </si>
  <si>
    <t>Wpływy z tytułu kar i odszkodowań wynikających z umów</t>
  </si>
  <si>
    <t>90025</t>
  </si>
  <si>
    <t>Działalność Państwowego Gospodarstwa Wodnego Wody Polskiego</t>
  </si>
  <si>
    <t>Działalność Państwowego Gospodarstwa Wodnego Wody Polskie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</si>
  <si>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</si>
  <si>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§ 905</t>
  </si>
  <si>
    <t>Upowszechnianie kultury fizycznej w dziedzinach: piłka nożna, ręczna, koszykowa i siatkówka oraz unihokej na terenie gminy Belsk Duży</t>
  </si>
  <si>
    <t>60014</t>
  </si>
  <si>
    <t>9.</t>
  </si>
  <si>
    <t>§ 950</t>
  </si>
  <si>
    <t>0750</t>
  </si>
  <si>
    <t>0550</t>
  </si>
  <si>
    <t>0800</t>
  </si>
  <si>
    <t>Wpływy ze sprzedaży składników majątkowych</t>
  </si>
  <si>
    <t>0870</t>
  </si>
  <si>
    <t>0910</t>
  </si>
  <si>
    <t>0920</t>
  </si>
  <si>
    <t>0970</t>
  </si>
  <si>
    <t>0940</t>
  </si>
  <si>
    <t>Środki na dofinansowanie własnych zadań bieżących gmin, powiatów (związków gmin, związków powiatowo gminnych, związków powiatów), samorząddów województw, pozyskane z innych źródeł</t>
  </si>
  <si>
    <t>0010</t>
  </si>
  <si>
    <t>0020</t>
  </si>
  <si>
    <t>0310</t>
  </si>
  <si>
    <t>0320</t>
  </si>
  <si>
    <t>0330</t>
  </si>
  <si>
    <t>0340</t>
  </si>
  <si>
    <t>0350</t>
  </si>
  <si>
    <t>0360</t>
  </si>
  <si>
    <t>0410</t>
  </si>
  <si>
    <t>0430</t>
  </si>
  <si>
    <t>0480</t>
  </si>
  <si>
    <t>0490</t>
  </si>
  <si>
    <t>Rekompensaty utraconych dochodów w podatkach i opłatach lokalnych</t>
  </si>
  <si>
    <t>2680</t>
  </si>
  <si>
    <t>0690</t>
  </si>
  <si>
    <t>0640</t>
  </si>
  <si>
    <t>0660</t>
  </si>
  <si>
    <t>0670</t>
  </si>
  <si>
    <t>0830</t>
  </si>
  <si>
    <t>0950</t>
  </si>
  <si>
    <t>2010</t>
  </si>
  <si>
    <t>2030</t>
  </si>
  <si>
    <t>2460</t>
  </si>
  <si>
    <t>2700</t>
  </si>
  <si>
    <t>Drogi publiczne powiatowe</t>
  </si>
  <si>
    <t>60095</t>
  </si>
  <si>
    <t>Zadania związane z utrzymaniem w czasie pokoju mocy produkcyjnych lub remontowych niezbędnych do realizacji zadań wynikających z Programu Mobilizacji Gospodarki</t>
  </si>
  <si>
    <t>Obsługa papierów wartościowych, kredytów i pożyczek oraz innych zobowiązań jednostek samorządu terytorialnego zaliczanych do tytułu dłużnego – kredyty i pożyczki</t>
  </si>
  <si>
    <t>90005</t>
  </si>
  <si>
    <t>Ochrona powietrza atmosferycznego i klimatu</t>
  </si>
  <si>
    <t>90026</t>
  </si>
  <si>
    <t>Pozostałe działania związane z gospodarką odpadami</t>
  </si>
  <si>
    <t>Ochrona powietrza  atmosferycznego i klimatu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</si>
  <si>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</si>
  <si>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Zał. Nr 5</t>
  </si>
  <si>
    <t>Zał. Nr 6</t>
  </si>
  <si>
    <t>Zał. Nr 7</t>
  </si>
  <si>
    <t>Zał. Nr 3</t>
  </si>
  <si>
    <t>Zał. Nr 8</t>
  </si>
  <si>
    <t>Środki na dofinansowanie własnych zadań bieżacych gmin, powiatów (związków gmin, związków powiatowo-gminnych, związków powiatów), samorządów województw, pozyskane z innych źródeł</t>
  </si>
  <si>
    <t xml:space="preserve"> </t>
  </si>
  <si>
    <t>720</t>
  </si>
  <si>
    <t>INFORMATYTKA</t>
  </si>
  <si>
    <t>Wpływy z części opłaty za zezwolenie na sprzedaż napojów alkoholowych w obrocie hurtowym</t>
  </si>
  <si>
    <t>Dotacja celowa w ramach programów finansowanych z udziałem środków europejskich oraz środków, o których mowa w art..5 ust. 1 pkt 3 oraz ust. 3 pkt 5 i 6 ustawy, lub płatności w ramach budżetu środków europejskich, z wyłączeniem dochodów klasyfikowanych w paragrafie 205</t>
  </si>
  <si>
    <t>Dotacja celowa otrzymana z budżetu państwa na zadania bieżące realizowane przez gminę na podstawie porozumień z organami administracji rządowej</t>
  </si>
  <si>
    <t>Dotacja celowa otrzymana z budżetu państwa na realizację zadań bieżących z zakresu administracji rządowej oraz innych zadań zleconych gminie (związkom gmin, związkom powiatowo-gminnym) ustawami</t>
  </si>
  <si>
    <t>853</t>
  </si>
  <si>
    <t>POZOSTAŁE ZADANIA W ZAKRESIE POLITYKI SPOŁECZNEJ</t>
  </si>
  <si>
    <t>Środki otrzymane od pozostałych jednostek zaliczanych do sektora finansów publicznych na realizację zadań bieżących jednostek zaliczanych do sektora finansów publicznych</t>
  </si>
  <si>
    <t>Dotacja celowa otrzymana z tytułu pomocy finansowej udzielanej między jednostkami samorządu terytorialnego na dofinansowanie własnych zadań bieżących</t>
  </si>
  <si>
    <t>Dotacja celowa otrzymana z budżetu państwa na realizację inwestycji i zakupów inwestycyjnych własnych gmin (związków gmin, związków powiatowo-gminnych)</t>
  </si>
  <si>
    <t>01044</t>
  </si>
  <si>
    <t>Infrastruktura sanitacyjna wsi</t>
  </si>
  <si>
    <t>70007</t>
  </si>
  <si>
    <t>Gospodarowanie mieszkaniowym zasobem gminy</t>
  </si>
  <si>
    <t>72095</t>
  </si>
  <si>
    <t>INFORMATYKA</t>
  </si>
  <si>
    <t>75410</t>
  </si>
  <si>
    <t>Komendy wojewódzkie Państwowej Straży Pożarnej</t>
  </si>
  <si>
    <t>80107</t>
  </si>
  <si>
    <t>85195</t>
  </si>
  <si>
    <t>Pozostałe zadania w zakresie polityki społecznej</t>
  </si>
  <si>
    <t>85510</t>
  </si>
  <si>
    <t>Działalność placówek opiekuńczo-wychowawczych</t>
  </si>
  <si>
    <t>75404</t>
  </si>
  <si>
    <t>Komendy Wojewódzkie Policji</t>
  </si>
  <si>
    <t>Komendy Wojewódzkie Państwowej Straży Pożarnej</t>
  </si>
  <si>
    <t>Modernizacja zeskoczni do skoku w dal wraz z rozbiegiem przy Publicznej Szkole Podstawowej w Lewiczynie</t>
  </si>
  <si>
    <t>Województwo Mazowieckie</t>
  </si>
  <si>
    <t>Komenda Powiatowa Policji w Grójcu</t>
  </si>
  <si>
    <t>Komenda Powiatowa Państwowej Straży Pożarnej w Grójcu</t>
  </si>
  <si>
    <t>Podtrzymywanie i upowszechnianie tradycji narodowej, pielęgnowanie polskości oraz rozwój świadomości narodowej, obywatelskiej i kulturowej</t>
  </si>
  <si>
    <t>Dochody i wydatki na zadania realizowane w drodze umów i porozumień między jednostkami samorządu terytorialnego na 2022 rok</t>
  </si>
  <si>
    <t xml:space="preserve">GOSPODARKA KOMUNALNA I OCHRONA ŚRODOWISKA </t>
  </si>
  <si>
    <t>Rozwój systemu monitoringu jakości powietrza w Gminie Belsk Duży</t>
  </si>
  <si>
    <t xml:space="preserve">Wykonanie audytów energetycznych dla placówek oświatowych na terenie Gminy Belsk Duży w m. Łęczeszyce, Zaborów, Stara Wieś </t>
  </si>
  <si>
    <t>Wykonanie zieleni na skarpie przy boisku szkolnym w Belsku Dużym</t>
  </si>
  <si>
    <t>Zakup i wymiana lamp w sołectwie Rosochów</t>
  </si>
  <si>
    <t>Zakup i wymiana lamp w sołectwie Julianów</t>
  </si>
  <si>
    <t>Zakup i wymiana lamp w sołectwie Bodzew</t>
  </si>
  <si>
    <t>Zakup i wymiana lamp w sołectwie Rębowola</t>
  </si>
  <si>
    <t>Zakup i wymiana lamp w sołectwie Kusy</t>
  </si>
  <si>
    <t>Zakup i wymiana lamp w sołectwie Wilczy Targ</t>
  </si>
  <si>
    <t>Zakup i wymiana lamp w sołectwie Tartaczek</t>
  </si>
  <si>
    <t>Zakup i wymiana lamp w sołectwie Odrzywołek</t>
  </si>
  <si>
    <t>Zakup i wymiana lamp w sołectwie Bartodzieje</t>
  </si>
  <si>
    <t>Dochody i wydatki na zadania realizowane na mocy porozumień z organami administracji rządowej w 2022 roku</t>
  </si>
  <si>
    <t>Zadanie pn. "Poznaj Polskę" realizowane przez PSP w Belsku Dużym</t>
  </si>
  <si>
    <t>Wpływy z opłaty miejscowej</t>
  </si>
  <si>
    <t xml:space="preserve">Środki na dofinansowanie własnych zadań biezących, gmin, powiatów, samorządów województw, pozyskane z innych źródeł </t>
  </si>
  <si>
    <t>Wpływy z otrzymanych spadków, zapisów i darowizn w postaci pieniężnej</t>
  </si>
  <si>
    <t>Środki z Funduszu Pomocy na finansowanie lub dofinansowanie zadań bieżacych w zakresie pomocy obywatelom Ukrainy</t>
  </si>
  <si>
    <t>Dochody z najmu i dzierżawy skladników majątkowych Skarbu Państwa, jednostek samorządu terytorialnego lub innych jednostek zaliczanych do sektora finansów publicznych oraz innych umów o podobnym charakterze</t>
  </si>
  <si>
    <t>Wpływy z rozliczeń/zwrotów z lat ubiegłych</t>
  </si>
  <si>
    <t>Środki z Funduszu Przeciwdziałania COVID-19 na finansowanie lub dofinansowanie realizacji zadań związanych z przeciwdzialaniem COVID-19</t>
  </si>
  <si>
    <t>Środki z Funduszu Pracy otrzymane na realizację zadań wynikających z odrębnych ustaw</t>
  </si>
  <si>
    <t>85111</t>
  </si>
  <si>
    <t>Szpitale ogólne</t>
  </si>
  <si>
    <t>85322</t>
  </si>
  <si>
    <t>Fundusz Pracy</t>
  </si>
  <si>
    <t>92109</t>
  </si>
  <si>
    <t xml:space="preserve">Domy i ośrodki kultury, światlice i kluby </t>
  </si>
  <si>
    <t>Zakład Gospodarki Komunalnej w Belsku Dużym</t>
  </si>
  <si>
    <t>Zakup wyposażenia dla OSP Wilczogóra - zapewnienie gotowości bojowej</t>
  </si>
  <si>
    <t>Modernizacja budynku użyczonego OSP Lewiczyn - zapewnienie gotowości bojowej</t>
  </si>
  <si>
    <t>Zakup wyposażenia OSP Lewiczyn</t>
  </si>
  <si>
    <t>Remont budynku OSP Wola Łęczeszycka</t>
  </si>
  <si>
    <t>Zadanie pn. "Poznaj Polskę" realizowane przez PSP w Lewiczynie</t>
  </si>
  <si>
    <t>Zadanie pn. "Poznaj Polskę" realizowane przez PSP w Zaborowie</t>
  </si>
  <si>
    <t>Dotacja celowa w ramach programów finansowanych z udziałem środków europejskich oraz środków o których mowa w art.5 ust.3 pkt 5 lit. a i b ustawy, lub płatności w ramach budżetu środków europejskich, realizowanych przez jednostki samorządu terytorialnego</t>
  </si>
  <si>
    <t>Zał. Nr 10</t>
  </si>
  <si>
    <t>Wykonanie wydatków na zadania inwestycyjne na 2022 rok nieobjęte wykazem przedsięwzięć do wieloletniej prognozy finansowej</t>
  </si>
  <si>
    <t>Nazwa zadania inwestycyjnego (w tym w ramach funduszu sołeckiego)</t>
  </si>
  <si>
    <t>Planowane łączne koszty finansowe</t>
  </si>
  <si>
    <t>Wykonanie przepompowni ścieków do instalacji przyłacza kanalizacyjnego w miejscowości Anielin</t>
  </si>
  <si>
    <t>Projekt rozbudowy drogi wojewódzkiej nr 728 w zakresie budowy chodnika na odcinku od km ok.5+876 (ul. Różana) do km ok. 6+800 (Stara Wieś) na terenie gminy Belsk Duży, powiat grójecki, województwo mazowieckie</t>
  </si>
  <si>
    <t>Projekt przebudowy drogi gminnej Nr 160289W w miejscowości Stara Wieś</t>
  </si>
  <si>
    <t>Przebudowa ul. Ogrodowej w miejscowości Belsk Duży</t>
  </si>
  <si>
    <t>Przebudowa ulic na osiedlu Sady</t>
  </si>
  <si>
    <t>Zakup nieruchomości gruntowej nr ewidencyjny 9/59 położonej w Belsku Dużym (obręb PGR Belsk Duży)</t>
  </si>
  <si>
    <t>Budowa zbiornika bezodpływowego ścieków na działce gminnej Nr 255/1 w Lewiczynie wraz z podłączeniem do budynku komunalnego</t>
  </si>
  <si>
    <t>Rewitalizacja centrum Belska Dużego - Etap III</t>
  </si>
  <si>
    <t>Wsprarcie cyfrowego rozwoju oraz zwiększenie cyberbezpieczeństwa w jst przez realizację projektu "Cyfrowa Gmina"</t>
  </si>
  <si>
    <t>Monitoring wizyjny zabezpieczający sprzęt strażacki w OSP Lewiczyn</t>
  </si>
  <si>
    <t>Monitoring wizyjny w Budynku B PSP Belsk Duży</t>
  </si>
  <si>
    <t>Budowa placu zabaw przy PSP Belsk Duży</t>
  </si>
  <si>
    <t>Rozbudowa oświetlenia ulicznego w celu poprawy bezpieczeństwa ruchu komunikacyjnego i pieszego w sołectwie Rębowola</t>
  </si>
  <si>
    <t>Wykonanie domu modułowego świetlicy wiejskiej na działce gminnej Nr 95/1 w miejscowości Rębowola</t>
  </si>
  <si>
    <t>Zakup kosiarki samojezdnej dla Gminnego Ośrodka Sportu i Rekreacji w Belsku Dużym</t>
  </si>
  <si>
    <t>Oświetlenie drogi gminnej w Anielinie</t>
  </si>
  <si>
    <t>Wykonanie limitu wydatków na wieloletnie programy inwestycyjne w latach 2014 - 2018 za 2017 r.</t>
  </si>
  <si>
    <t xml:space="preserve">Nazwa zadania inwestycyjnego
</t>
  </si>
  <si>
    <t>Okres realizacji (w latach)</t>
  </si>
  <si>
    <t xml:space="preserve">Łączne koszty finansowe </t>
  </si>
  <si>
    <t>Plan na 2017 rok</t>
  </si>
  <si>
    <t>Wykonanie za 2017 rok</t>
  </si>
  <si>
    <t>Modernizacja drogi gminnej 160102W przez wieś Maciejówka</t>
  </si>
  <si>
    <t>2016-2017</t>
  </si>
  <si>
    <t>Wykonanie ulic i kanalizacji deszczowej na osiedlu "Południe" w Belsku Dużym</t>
  </si>
  <si>
    <t>2014-2017</t>
  </si>
  <si>
    <t>Modernizacja instalacji elektrycznej w Publicznej Szkole Podstawowej w Łęczeszycach</t>
  </si>
  <si>
    <t>80110</t>
  </si>
  <si>
    <t xml:space="preserve">Budowa szkolnej hali sportowej wraz z zapleczem przy Publicznym Gimnazjum w Belsku Dużym </t>
  </si>
  <si>
    <t>2015-2018</t>
  </si>
  <si>
    <t>90002</t>
  </si>
  <si>
    <t>Budowa Punktu Selektywnej Zbiórki Odpadów Komunalnych</t>
  </si>
  <si>
    <t>Wykonanie wydatków z przedsięwzięć ustalonych w wieloletniej prognozie finansowej gminy za 2022 r.</t>
  </si>
  <si>
    <t>Plan na 2022 rok</t>
  </si>
  <si>
    <t>Wykonanie za 2022 rok</t>
  </si>
  <si>
    <t>Budowa kanalizacji sanitarnej od miejscowości Belsk Duży (osiedle PGR) do wsi Rębowola, Skowronki</t>
  </si>
  <si>
    <t>2019-2022</t>
  </si>
  <si>
    <t>Przebudowa budynku stacji uzdatniania wody w miejscowości Łęczeszyce</t>
  </si>
  <si>
    <t>2021-2022</t>
  </si>
  <si>
    <t>Wykonanie dokumentacji wraz z pozwoleniami i uzgodnieniami wodno-prawnymi rowów odwadniających we wsi Wólka Łęczeszycka</t>
  </si>
  <si>
    <t>2018-2022</t>
  </si>
  <si>
    <t>Przebudowa drogi gminnej nr 160123W w miejscowości Wólka Łęczeszycka</t>
  </si>
  <si>
    <t>"Papier czy plastik? Papierowe, plastikowe… przetworzone (nie zaśmieca), jest jak nowe"</t>
  </si>
  <si>
    <t>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</si>
</sst>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63"/>
      <name val="Arial"/>
      <family val="2"/>
      <charset val="238"/>
    </font>
    <font>
      <b/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3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Arial CE"/>
      <charset val="238"/>
    </font>
    <font>
      <sz val="8"/>
      <color theme="1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</font>
    <font>
      <b/>
      <sz val="6"/>
      <name val="Arial CE"/>
      <family val="2"/>
      <charset val="238"/>
    </font>
    <font>
      <sz val="8"/>
      <color rgb="FFFF0000"/>
      <name val="Arial CE"/>
      <charset val="238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5" fillId="0" borderId="0"/>
    <xf numFmtId="0" fontId="15" fillId="0" borderId="0"/>
    <xf numFmtId="0" fontId="44" fillId="0" borderId="0"/>
  </cellStyleXfs>
  <cellXfs count="5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/>
    <xf numFmtId="49" fontId="0" fillId="0" borderId="0" xfId="0" applyNumberFormat="1"/>
    <xf numFmtId="49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164" fontId="0" fillId="0" borderId="0" xfId="0" applyNumberFormat="1" applyBorder="1"/>
    <xf numFmtId="164" fontId="0" fillId="0" borderId="0" xfId="0" applyNumberFormat="1"/>
    <xf numFmtId="4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11" fillId="0" borderId="0" xfId="0" applyFont="1"/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2" fillId="0" borderId="0" xfId="0" applyFont="1"/>
    <xf numFmtId="0" fontId="7" fillId="0" borderId="13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0" fillId="0" borderId="0" xfId="0" applyBorder="1"/>
    <xf numFmtId="165" fontId="0" fillId="0" borderId="0" xfId="0" applyNumberFormat="1"/>
    <xf numFmtId="4" fontId="7" fillId="4" borderId="2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4" fontId="14" fillId="4" borderId="15" xfId="0" applyNumberFormat="1" applyFont="1" applyFill="1" applyBorder="1" applyAlignment="1">
      <alignment horizontal="center" vertical="center" wrapText="1"/>
    </xf>
    <xf numFmtId="165" fontId="14" fillId="4" borderId="15" xfId="0" applyNumberFormat="1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 applyAlignment="1">
      <alignment horizontal="right" wrapText="1"/>
    </xf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15" fillId="0" borderId="0" xfId="1" applyFont="1" applyFill="1" applyAlignment="1">
      <alignment horizontal="right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right" vertical="top"/>
    </xf>
    <xf numFmtId="3" fontId="21" fillId="0" borderId="0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/>
    <xf numFmtId="0" fontId="21" fillId="0" borderId="0" xfId="0" applyFont="1" applyFill="1" applyBorder="1" applyAlignment="1">
      <alignment horizontal="center" vertical="center"/>
    </xf>
    <xf numFmtId="4" fontId="26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" fontId="18" fillId="0" borderId="0" xfId="0" applyNumberFormat="1" applyFont="1" applyAlignment="1">
      <alignment horizontal="right" vertical="center"/>
    </xf>
    <xf numFmtId="3" fontId="19" fillId="4" borderId="4" xfId="0" applyNumberFormat="1" applyFont="1" applyFill="1" applyBorder="1" applyAlignment="1">
      <alignment horizontal="center" vertical="center"/>
    </xf>
    <xf numFmtId="164" fontId="19" fillId="4" borderId="12" xfId="0" applyNumberFormat="1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3" fontId="19" fillId="4" borderId="9" xfId="0" applyNumberFormat="1" applyFont="1" applyFill="1" applyBorder="1" applyAlignment="1">
      <alignment horizontal="center" vertical="center"/>
    </xf>
    <xf numFmtId="164" fontId="19" fillId="4" borderId="10" xfId="0" applyNumberFormat="1" applyFont="1" applyFill="1" applyBorder="1" applyAlignment="1">
      <alignment horizontal="center" vertical="center"/>
    </xf>
    <xf numFmtId="164" fontId="19" fillId="4" borderId="1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4" fontId="27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0" fontId="28" fillId="0" borderId="0" xfId="0" applyFont="1"/>
    <xf numFmtId="49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9" fillId="0" borderId="0" xfId="0" applyFont="1"/>
    <xf numFmtId="49" fontId="2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15" fillId="0" borderId="0" xfId="0" applyFont="1"/>
    <xf numFmtId="4" fontId="0" fillId="0" borderId="11" xfId="0" applyNumberFormat="1" applyBorder="1" applyAlignment="1">
      <alignment horizontal="right" vertical="center"/>
    </xf>
    <xf numFmtId="49" fontId="5" fillId="0" borderId="2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  <xf numFmtId="0" fontId="30" fillId="0" borderId="0" xfId="0" applyFont="1" applyAlignment="1">
      <alignment horizontal="center" vertical="center" wrapText="1"/>
    </xf>
    <xf numFmtId="0" fontId="15" fillId="0" borderId="0" xfId="1" applyFont="1" applyFill="1" applyAlignment="1">
      <alignment horizontal="right" wrapText="1"/>
    </xf>
    <xf numFmtId="4" fontId="15" fillId="0" borderId="0" xfId="1" applyNumberFormat="1" applyFont="1" applyFill="1" applyAlignment="1">
      <alignment horizontal="right" wrapText="1"/>
    </xf>
    <xf numFmtId="164" fontId="15" fillId="0" borderId="0" xfId="1" applyNumberFormat="1" applyFont="1" applyFill="1" applyAlignment="1">
      <alignment horizontal="right"/>
    </xf>
    <xf numFmtId="4" fontId="15" fillId="0" borderId="0" xfId="1" applyNumberFormat="1" applyFont="1" applyFill="1" applyAlignment="1">
      <alignment horizontal="right"/>
    </xf>
    <xf numFmtId="0" fontId="18" fillId="0" borderId="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7" fillId="0" borderId="0" xfId="0" applyFont="1" applyBorder="1"/>
    <xf numFmtId="0" fontId="27" fillId="0" borderId="0" xfId="0" applyFont="1" applyBorder="1" applyAlignment="1">
      <alignment wrapText="1"/>
    </xf>
    <xf numFmtId="3" fontId="27" fillId="0" borderId="0" xfId="0" applyNumberFormat="1" applyFont="1" applyBorder="1"/>
    <xf numFmtId="4" fontId="27" fillId="0" borderId="0" xfId="0" applyNumberFormat="1" applyFont="1" applyBorder="1"/>
    <xf numFmtId="164" fontId="27" fillId="0" borderId="0" xfId="0" applyNumberFormat="1" applyFont="1" applyBorder="1"/>
    <xf numFmtId="3" fontId="31" fillId="0" borderId="0" xfId="0" applyNumberFormat="1" applyFont="1"/>
    <xf numFmtId="0" fontId="31" fillId="0" borderId="0" xfId="0" applyFont="1"/>
    <xf numFmtId="3" fontId="33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>
      <alignment vertical="center"/>
    </xf>
    <xf numFmtId="3" fontId="34" fillId="0" borderId="0" xfId="0" applyNumberFormat="1" applyFont="1" applyFill="1" applyBorder="1" applyAlignment="1">
      <alignment horizontal="center" vertical="center"/>
    </xf>
    <xf numFmtId="0" fontId="3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3" fontId="0" fillId="0" borderId="1" xfId="0" applyNumberForma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indent="2"/>
    </xf>
    <xf numFmtId="3" fontId="0" fillId="0" borderId="13" xfId="0" applyNumberForma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4" fontId="4" fillId="0" borderId="1" xfId="0" applyNumberFormat="1" applyFont="1" applyBorder="1"/>
    <xf numFmtId="0" fontId="1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4" fontId="3" fillId="0" borderId="1" xfId="0" applyNumberFormat="1" applyFont="1" applyBorder="1"/>
    <xf numFmtId="49" fontId="35" fillId="0" borderId="1" xfId="0" applyNumberFormat="1" applyFont="1" applyBorder="1"/>
    <xf numFmtId="49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right" vertical="center"/>
    </xf>
    <xf numFmtId="49" fontId="12" fillId="0" borderId="13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right" vertical="center"/>
    </xf>
    <xf numFmtId="49" fontId="36" fillId="0" borderId="1" xfId="0" applyNumberFormat="1" applyFont="1" applyBorder="1" applyAlignment="1">
      <alignment horizontal="right" vertical="center"/>
    </xf>
    <xf numFmtId="49" fontId="3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/>
    </xf>
    <xf numFmtId="4" fontId="27" fillId="0" borderId="3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right"/>
    </xf>
    <xf numFmtId="49" fontId="15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4" fontId="9" fillId="4" borderId="1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49" fontId="9" fillId="4" borderId="15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4" fontId="38" fillId="0" borderId="1" xfId="0" applyNumberFormat="1" applyFont="1" applyBorder="1"/>
    <xf numFmtId="49" fontId="4" fillId="0" borderId="0" xfId="0" applyNumberFormat="1" applyFont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Alignment="1">
      <alignment horizontal="right"/>
    </xf>
    <xf numFmtId="49" fontId="6" fillId="2" borderId="1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3" fontId="6" fillId="2" borderId="2" xfId="0" applyNumberFormat="1" applyFont="1" applyFill="1" applyBorder="1"/>
    <xf numFmtId="4" fontId="6" fillId="2" borderId="6" xfId="0" applyNumberFormat="1" applyFont="1" applyFill="1" applyBorder="1" applyAlignment="1">
      <alignment horizontal="center"/>
    </xf>
    <xf numFmtId="164" fontId="6" fillId="2" borderId="3" xfId="0" applyNumberFormat="1" applyFont="1" applyFill="1" applyBorder="1"/>
    <xf numFmtId="3" fontId="6" fillId="2" borderId="6" xfId="0" applyNumberFormat="1" applyFont="1" applyFill="1" applyBorder="1" applyAlignment="1">
      <alignment horizontal="center"/>
    </xf>
    <xf numFmtId="0" fontId="6" fillId="3" borderId="0" xfId="0" applyFont="1" applyFill="1"/>
    <xf numFmtId="49" fontId="7" fillId="2" borderId="7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2" fillId="3" borderId="0" xfId="0" applyFont="1" applyFill="1"/>
    <xf numFmtId="0" fontId="12" fillId="0" borderId="0" xfId="0" applyFont="1" applyBorder="1"/>
    <xf numFmtId="4" fontId="6" fillId="0" borderId="13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4" fontId="30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5" fillId="0" borderId="1" xfId="0" applyFont="1" applyBorder="1" applyAlignment="1">
      <alignment horizontal="left" wrapText="1"/>
    </xf>
    <xf numFmtId="49" fontId="12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9" fontId="11" fillId="0" borderId="13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4" fontId="7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" fontId="7" fillId="0" borderId="15" xfId="0" applyNumberFormat="1" applyFont="1" applyFill="1" applyBorder="1" applyAlignment="1">
      <alignment vertical="center"/>
    </xf>
    <xf numFmtId="4" fontId="7" fillId="0" borderId="15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49" fontId="7" fillId="0" borderId="9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4" fontId="39" fillId="0" borderId="1" xfId="0" applyNumberFormat="1" applyFont="1" applyBorder="1" applyAlignment="1">
      <alignment horizontal="right" vertical="center"/>
    </xf>
    <xf numFmtId="3" fontId="36" fillId="0" borderId="0" xfId="0" applyNumberFormat="1" applyFont="1"/>
    <xf numFmtId="0" fontId="16" fillId="0" borderId="0" xfId="0" applyFont="1" applyAlignment="1">
      <alignment horizontal="center" vertical="center" wrapText="1"/>
    </xf>
    <xf numFmtId="4" fontId="19" fillId="4" borderId="12" xfId="0" applyNumberFormat="1" applyFont="1" applyFill="1" applyBorder="1" applyAlignment="1">
      <alignment horizontal="center" vertical="center" wrapText="1"/>
    </xf>
    <xf numFmtId="4" fontId="19" fillId="4" borderId="1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4" fontId="36" fillId="0" borderId="0" xfId="0" applyNumberFormat="1" applyFont="1" applyAlignment="1">
      <alignment vertical="center"/>
    </xf>
    <xf numFmtId="3" fontId="36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vertical="center" wrapText="1"/>
    </xf>
    <xf numFmtId="0" fontId="36" fillId="0" borderId="0" xfId="0" applyFont="1"/>
    <xf numFmtId="0" fontId="33" fillId="0" borderId="0" xfId="0" applyFont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vertical="center" wrapText="1"/>
    </xf>
    <xf numFmtId="4" fontId="34" fillId="0" borderId="1" xfId="0" applyNumberFormat="1" applyFont="1" applyBorder="1" applyAlignment="1">
      <alignment vertical="center"/>
    </xf>
    <xf numFmtId="164" fontId="34" fillId="0" borderId="1" xfId="0" applyNumberFormat="1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4" fontId="36" fillId="0" borderId="0" xfId="0" applyNumberFormat="1" applyFont="1"/>
    <xf numFmtId="164" fontId="36" fillId="0" borderId="0" xfId="0" applyNumberFormat="1" applyFont="1"/>
    <xf numFmtId="4" fontId="19" fillId="4" borderId="0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3" fontId="27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wrapText="1"/>
    </xf>
    <xf numFmtId="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vertical="center"/>
    </xf>
    <xf numFmtId="0" fontId="27" fillId="0" borderId="1" xfId="0" applyFont="1" applyBorder="1"/>
    <xf numFmtId="4" fontId="27" fillId="0" borderId="1" xfId="0" applyNumberFormat="1" applyFont="1" applyBorder="1"/>
    <xf numFmtId="164" fontId="27" fillId="0" borderId="1" xfId="0" applyNumberFormat="1" applyFont="1" applyBorder="1"/>
    <xf numFmtId="0" fontId="19" fillId="0" borderId="1" xfId="0" applyFont="1" applyBorder="1"/>
    <xf numFmtId="49" fontId="19" fillId="0" borderId="1" xfId="0" applyNumberFormat="1" applyFont="1" applyBorder="1" applyAlignment="1">
      <alignment horizontal="right"/>
    </xf>
    <xf numFmtId="0" fontId="36" fillId="0" borderId="0" xfId="0" applyFont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/>
    </xf>
    <xf numFmtId="164" fontId="19" fillId="0" borderId="1" xfId="0" applyNumberFormat="1" applyFont="1" applyBorder="1"/>
    <xf numFmtId="3" fontId="27" fillId="0" borderId="1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vertical="center" wrapText="1"/>
    </xf>
    <xf numFmtId="3" fontId="27" fillId="0" borderId="1" xfId="0" applyNumberFormat="1" applyFont="1" applyBorder="1"/>
    <xf numFmtId="3" fontId="19" fillId="0" borderId="1" xfId="0" applyNumberFormat="1" applyFont="1" applyBorder="1" applyAlignment="1">
      <alignment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" fontId="21" fillId="0" borderId="1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40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 wrapText="1"/>
    </xf>
    <xf numFmtId="4" fontId="22" fillId="0" borderId="15" xfId="0" applyNumberFormat="1" applyFont="1" applyBorder="1" applyAlignment="1">
      <alignment horizontal="right" vertical="center"/>
    </xf>
    <xf numFmtId="3" fontId="21" fillId="0" borderId="1" xfId="0" applyNumberFormat="1" applyFont="1" applyBorder="1" applyAlignment="1">
      <alignment horizontal="right" vertical="center"/>
    </xf>
    <xf numFmtId="0" fontId="21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/>
    </xf>
    <xf numFmtId="4" fontId="21" fillId="0" borderId="14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4" fontId="3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38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/>
    <xf numFmtId="49" fontId="43" fillId="0" borderId="0" xfId="0" applyNumberFormat="1" applyFont="1" applyAlignment="1">
      <alignment horizontal="right"/>
    </xf>
    <xf numFmtId="0" fontId="43" fillId="0" borderId="0" xfId="0" applyFont="1"/>
    <xf numFmtId="4" fontId="11" fillId="0" borderId="0" xfId="0" applyNumberFormat="1" applyFont="1" applyBorder="1" applyAlignment="1">
      <alignment horizontal="right"/>
    </xf>
    <xf numFmtId="0" fontId="36" fillId="0" borderId="1" xfId="0" applyFont="1" applyBorder="1" applyAlignment="1">
      <alignment horizontal="right" vertical="center"/>
    </xf>
    <xf numFmtId="0" fontId="36" fillId="0" borderId="1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 wrapText="1"/>
    </xf>
    <xf numFmtId="49" fontId="30" fillId="0" borderId="1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15" fillId="0" borderId="0" xfId="2" applyAlignment="1">
      <alignment vertical="center"/>
    </xf>
    <xf numFmtId="3" fontId="15" fillId="0" borderId="0" xfId="2" applyNumberFormat="1" applyAlignment="1">
      <alignment vertical="center"/>
    </xf>
    <xf numFmtId="0" fontId="15" fillId="0" borderId="0" xfId="2"/>
    <xf numFmtId="3" fontId="15" fillId="0" borderId="0" xfId="2" applyNumberFormat="1" applyAlignment="1">
      <alignment horizontal="right" vertical="center"/>
    </xf>
    <xf numFmtId="3" fontId="19" fillId="4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vertical="center" wrapText="1"/>
    </xf>
    <xf numFmtId="3" fontId="5" fillId="0" borderId="1" xfId="2" applyNumberFormat="1" applyFont="1" applyBorder="1" applyAlignment="1">
      <alignment vertic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vertical="center" wrapText="1"/>
    </xf>
    <xf numFmtId="3" fontId="15" fillId="0" borderId="1" xfId="2" applyNumberFormat="1" applyFont="1" applyBorder="1" applyAlignment="1">
      <alignment vertical="center"/>
    </xf>
    <xf numFmtId="0" fontId="15" fillId="0" borderId="4" xfId="2" applyFont="1" applyBorder="1" applyAlignment="1">
      <alignment vertical="center" wrapText="1"/>
    </xf>
    <xf numFmtId="0" fontId="5" fillId="0" borderId="1" xfId="2" applyFont="1" applyBorder="1" applyAlignment="1">
      <alignment vertical="center"/>
    </xf>
    <xf numFmtId="0" fontId="15" fillId="0" borderId="1" xfId="2" applyBorder="1" applyAlignment="1">
      <alignment vertical="center"/>
    </xf>
    <xf numFmtId="0" fontId="15" fillId="0" borderId="1" xfId="2" applyBorder="1" applyAlignment="1">
      <alignment horizontal="center" vertical="center"/>
    </xf>
    <xf numFmtId="0" fontId="15" fillId="0" borderId="1" xfId="3" applyFont="1" applyBorder="1" applyAlignment="1">
      <alignment vertical="center" wrapText="1"/>
    </xf>
    <xf numFmtId="3" fontId="15" fillId="0" borderId="1" xfId="2" applyNumberForma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19" fillId="3" borderId="15" xfId="2" applyFont="1" applyFill="1" applyBorder="1" applyAlignment="1">
      <alignment horizontal="center" vertical="center"/>
    </xf>
    <xf numFmtId="3" fontId="19" fillId="3" borderId="1" xfId="2" applyNumberFormat="1" applyFont="1" applyFill="1" applyBorder="1" applyAlignment="1">
      <alignment horizontal="center" vertical="center" wrapText="1"/>
    </xf>
    <xf numFmtId="3" fontId="30" fillId="3" borderId="1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36" fillId="0" borderId="13" xfId="0" applyFont="1" applyBorder="1" applyAlignment="1">
      <alignment horizontal="right" vertical="center"/>
    </xf>
    <xf numFmtId="49" fontId="45" fillId="0" borderId="1" xfId="0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right" vertical="center"/>
    </xf>
    <xf numFmtId="4" fontId="45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/>
    </xf>
    <xf numFmtId="0" fontId="45" fillId="0" borderId="1" xfId="0" applyFont="1" applyBorder="1" applyAlignment="1">
      <alignment horizontal="right" vertical="center" wrapText="1"/>
    </xf>
    <xf numFmtId="4" fontId="15" fillId="0" borderId="1" xfId="0" quotePrefix="1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" fontId="15" fillId="0" borderId="1" xfId="2" applyNumberFormat="1" applyBorder="1" applyAlignment="1">
      <alignment vertical="center"/>
    </xf>
    <xf numFmtId="4" fontId="5" fillId="0" borderId="1" xfId="2" applyNumberFormat="1" applyFont="1" applyBorder="1" applyAlignment="1">
      <alignment vertical="center"/>
    </xf>
    <xf numFmtId="0" fontId="5" fillId="0" borderId="0" xfId="2" applyFont="1"/>
    <xf numFmtId="0" fontId="46" fillId="0" borderId="0" xfId="0" applyFont="1"/>
    <xf numFmtId="0" fontId="47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3" fontId="49" fillId="0" borderId="1" xfId="0" applyNumberFormat="1" applyFont="1" applyBorder="1" applyAlignment="1">
      <alignment vertical="center"/>
    </xf>
    <xf numFmtId="49" fontId="49" fillId="0" borderId="1" xfId="0" applyNumberFormat="1" applyFont="1" applyBorder="1" applyAlignment="1">
      <alignment horizontal="right" vertical="center"/>
    </xf>
    <xf numFmtId="0" fontId="49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4" fontId="0" fillId="0" borderId="17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4" fontId="0" fillId="0" borderId="13" xfId="0" applyNumberFormat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4" fontId="0" fillId="0" borderId="13" xfId="0" applyNumberFormat="1" applyBorder="1" applyAlignment="1">
      <alignment vertical="center" wrapText="1"/>
    </xf>
    <xf numFmtId="0" fontId="36" fillId="0" borderId="17" xfId="0" applyFont="1" applyBorder="1" applyAlignment="1">
      <alignment horizontal="center" vertical="center"/>
    </xf>
    <xf numFmtId="49" fontId="36" fillId="0" borderId="17" xfId="0" applyNumberFormat="1" applyFont="1" applyBorder="1" applyAlignment="1">
      <alignment horizontal="center" vertical="center"/>
    </xf>
    <xf numFmtId="0" fontId="36" fillId="0" borderId="13" xfId="0" applyFont="1" applyBorder="1" applyAlignment="1">
      <alignment vertical="center" wrapText="1"/>
    </xf>
    <xf numFmtId="4" fontId="36" fillId="0" borderId="17" xfId="0" applyNumberFormat="1" applyFont="1" applyBorder="1" applyAlignment="1">
      <alignment vertical="center"/>
    </xf>
    <xf numFmtId="4" fontId="36" fillId="0" borderId="17" xfId="0" applyNumberFormat="1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4" fontId="36" fillId="0" borderId="13" xfId="0" applyNumberFormat="1" applyFont="1" applyBorder="1" applyAlignment="1">
      <alignment vertical="center"/>
    </xf>
    <xf numFmtId="49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4" fontId="36" fillId="0" borderId="13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19" fillId="0" borderId="1" xfId="0" applyNumberFormat="1" applyFont="1" applyBorder="1"/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4" fontId="9" fillId="4" borderId="13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49" fontId="9" fillId="4" borderId="13" xfId="0" applyNumberFormat="1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/>
    </xf>
    <xf numFmtId="0" fontId="41" fillId="4" borderId="14" xfId="0" applyFont="1" applyFill="1" applyBorder="1" applyAlignment="1">
      <alignment horizontal="center" vertical="center"/>
    </xf>
    <xf numFmtId="0" fontId="41" fillId="4" borderId="15" xfId="0" applyFont="1" applyFill="1" applyBorder="1" applyAlignment="1">
      <alignment horizontal="center" vertical="center"/>
    </xf>
    <xf numFmtId="0" fontId="41" fillId="4" borderId="13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/>
    </xf>
    <xf numFmtId="49" fontId="19" fillId="4" borderId="13" xfId="0" applyNumberFormat="1" applyFont="1" applyFill="1" applyBorder="1" applyAlignment="1">
      <alignment horizontal="center" vertical="center"/>
    </xf>
    <xf numFmtId="49" fontId="19" fillId="4" borderId="15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4" fontId="19" fillId="4" borderId="12" xfId="0" applyNumberFormat="1" applyFont="1" applyFill="1" applyBorder="1" applyAlignment="1">
      <alignment horizontal="center" vertical="center" wrapText="1"/>
    </xf>
    <xf numFmtId="4" fontId="19" fillId="4" borderId="10" xfId="0" applyNumberFormat="1" applyFont="1" applyFill="1" applyBorder="1" applyAlignment="1">
      <alignment horizontal="center" vertical="center"/>
    </xf>
    <xf numFmtId="4" fontId="19" fillId="4" borderId="10" xfId="0" applyNumberFormat="1" applyFont="1" applyFill="1" applyBorder="1" applyAlignment="1">
      <alignment horizontal="center" vertical="center" wrapText="1"/>
    </xf>
    <xf numFmtId="4" fontId="19" fillId="4" borderId="3" xfId="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3" fontId="19" fillId="4" borderId="4" xfId="0" applyNumberFormat="1" applyFont="1" applyFill="1" applyBorder="1" applyAlignment="1">
      <alignment horizontal="center" vertical="center" wrapText="1"/>
    </xf>
    <xf numFmtId="3" fontId="19" fillId="4" borderId="7" xfId="0" applyNumberFormat="1" applyFont="1" applyFill="1" applyBorder="1" applyAlignment="1">
      <alignment horizontal="center" vertical="center" wrapText="1"/>
    </xf>
    <xf numFmtId="3" fontId="19" fillId="4" borderId="9" xfId="0" applyNumberFormat="1" applyFont="1" applyFill="1" applyBorder="1" applyAlignment="1">
      <alignment horizontal="center" vertical="center" wrapText="1"/>
    </xf>
    <xf numFmtId="3" fontId="19" fillId="4" borderId="12" xfId="0" applyNumberFormat="1" applyFont="1" applyFill="1" applyBorder="1" applyAlignment="1">
      <alignment horizontal="center" vertical="center" wrapText="1"/>
    </xf>
    <xf numFmtId="3" fontId="19" fillId="4" borderId="0" xfId="0" applyNumberFormat="1" applyFont="1" applyFill="1" applyBorder="1" applyAlignment="1">
      <alignment horizontal="center" vertical="center" wrapText="1"/>
    </xf>
    <xf numFmtId="3" fontId="19" fillId="4" borderId="10" xfId="0" applyNumberFormat="1" applyFont="1" applyFill="1" applyBorder="1" applyAlignment="1">
      <alignment horizontal="center" vertical="center" wrapText="1"/>
    </xf>
    <xf numFmtId="164" fontId="19" fillId="4" borderId="5" xfId="0" applyNumberFormat="1" applyFont="1" applyFill="1" applyBorder="1" applyAlignment="1">
      <alignment horizontal="center" vertical="center" wrapText="1"/>
    </xf>
    <xf numFmtId="164" fontId="19" fillId="4" borderId="8" xfId="0" applyNumberFormat="1" applyFont="1" applyFill="1" applyBorder="1" applyAlignment="1">
      <alignment horizontal="center" vertical="center" wrapText="1"/>
    </xf>
    <xf numFmtId="164" fontId="19" fillId="4" borderId="1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19" fillId="4" borderId="13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 wrapText="1"/>
    </xf>
    <xf numFmtId="0" fontId="36" fillId="0" borderId="14" xfId="0" applyFont="1" applyBorder="1"/>
    <xf numFmtId="0" fontId="36" fillId="0" borderId="15" xfId="0" applyFont="1" applyBorder="1"/>
    <xf numFmtId="3" fontId="19" fillId="4" borderId="1" xfId="0" applyNumberFormat="1" applyFont="1" applyFill="1" applyBorder="1" applyAlignment="1">
      <alignment horizontal="center" vertical="center" wrapText="1"/>
    </xf>
    <xf numFmtId="3" fontId="19" fillId="4" borderId="4" xfId="2" applyNumberFormat="1" applyFont="1" applyFill="1" applyBorder="1" applyAlignment="1">
      <alignment horizontal="center" vertical="center" wrapText="1"/>
    </xf>
    <xf numFmtId="3" fontId="19" fillId="4" borderId="12" xfId="2" applyNumberFormat="1" applyFont="1" applyFill="1" applyBorder="1" applyAlignment="1">
      <alignment horizontal="center" vertical="center" wrapText="1"/>
    </xf>
    <xf numFmtId="3" fontId="19" fillId="4" borderId="5" xfId="2" applyNumberFormat="1" applyFont="1" applyFill="1" applyBorder="1" applyAlignment="1">
      <alignment horizontal="center" vertical="center" wrapText="1"/>
    </xf>
    <xf numFmtId="3" fontId="19" fillId="4" borderId="9" xfId="2" applyNumberFormat="1" applyFont="1" applyFill="1" applyBorder="1" applyAlignment="1">
      <alignment horizontal="center" vertical="center" wrapText="1"/>
    </xf>
    <xf numFmtId="3" fontId="19" fillId="4" borderId="10" xfId="2" applyNumberFormat="1" applyFont="1" applyFill="1" applyBorder="1" applyAlignment="1">
      <alignment horizontal="center" vertical="center" wrapText="1"/>
    </xf>
    <xf numFmtId="3" fontId="19" fillId="4" borderId="11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top" wrapText="1"/>
    </xf>
    <xf numFmtId="0" fontId="19" fillId="4" borderId="13" xfId="2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/>
    </xf>
    <xf numFmtId="3" fontId="19" fillId="4" borderId="13" xfId="0" applyNumberFormat="1" applyFont="1" applyFill="1" applyBorder="1" applyAlignment="1">
      <alignment horizontal="center" vertical="center" wrapText="1"/>
    </xf>
    <xf numFmtId="3" fontId="19" fillId="4" borderId="14" xfId="0" applyNumberFormat="1" applyFont="1" applyFill="1" applyBorder="1" applyAlignment="1">
      <alignment horizontal="center" vertical="center" wrapText="1"/>
    </xf>
    <xf numFmtId="3" fontId="19" fillId="4" borderId="15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Normalny 3" xfId="3"/>
    <cellStyle name="Normalny_Arkusz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2"/>
  <sheetViews>
    <sheetView topLeftCell="A108" zoomScale="140" zoomScaleNormal="140" workbookViewId="0">
      <pane xSplit="1" topLeftCell="B1" activePane="topRight" state="frozen"/>
      <selection pane="topRight" activeCell="H59" sqref="H59"/>
    </sheetView>
  </sheetViews>
  <sheetFormatPr defaultRowHeight="15" x14ac:dyDescent="0.25"/>
  <cols>
    <col min="1" max="1" width="3.85546875" style="15" customWidth="1"/>
    <col min="2" max="2" width="22.85546875" customWidth="1"/>
    <col min="3" max="3" width="10.28515625" customWidth="1"/>
    <col min="4" max="4" width="12.5703125" customWidth="1"/>
    <col min="5" max="5" width="5.5703125" customWidth="1"/>
    <col min="6" max="6" width="10.42578125" customWidth="1"/>
    <col min="7" max="7" width="10.28515625" customWidth="1"/>
    <col min="8" max="8" width="7" customWidth="1"/>
    <col min="9" max="9" width="9.140625" customWidth="1"/>
    <col min="10" max="10" width="10.85546875" customWidth="1"/>
    <col min="11" max="11" width="9.85546875" customWidth="1"/>
    <col min="12" max="12" width="8.5703125" customWidth="1"/>
    <col min="13" max="13" width="7.42578125" customWidth="1"/>
    <col min="14" max="14" width="9.42578125" customWidth="1"/>
    <col min="15" max="15" width="10.5703125" customWidth="1"/>
    <col min="16" max="16" width="10.5703125" style="19" hidden="1" customWidth="1"/>
  </cols>
  <sheetData>
    <row r="1" spans="1:17" s="1" customFormat="1" ht="13.5" customHeight="1" x14ac:dyDescent="0.2">
      <c r="A1" s="1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  <c r="P1" s="197"/>
      <c r="Q1" s="4"/>
    </row>
    <row r="2" spans="1:17" s="2" customFormat="1" ht="15.75" customHeight="1" x14ac:dyDescent="0.25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</row>
    <row r="3" spans="1:17" s="1" customFormat="1" ht="11.25" customHeight="1" x14ac:dyDescent="0.2">
      <c r="A3" s="1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97"/>
      <c r="Q3" s="5"/>
    </row>
    <row r="4" spans="1:17" s="1" customFormat="1" ht="13.5" customHeight="1" x14ac:dyDescent="0.2">
      <c r="A4" s="455" t="s">
        <v>2</v>
      </c>
      <c r="B4" s="458" t="s">
        <v>3</v>
      </c>
      <c r="C4" s="461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3"/>
      <c r="P4" s="197"/>
      <c r="Q4" s="5"/>
    </row>
    <row r="5" spans="1:17" s="1" customFormat="1" ht="14.25" customHeight="1" x14ac:dyDescent="0.2">
      <c r="A5" s="456"/>
      <c r="B5" s="459"/>
      <c r="C5" s="464" t="s">
        <v>4</v>
      </c>
      <c r="D5" s="465"/>
      <c r="E5" s="466"/>
      <c r="F5" s="461" t="s">
        <v>13</v>
      </c>
      <c r="G5" s="462"/>
      <c r="H5" s="462"/>
      <c r="I5" s="462"/>
      <c r="J5" s="462"/>
      <c r="K5" s="462"/>
      <c r="L5" s="462"/>
      <c r="M5" s="462"/>
      <c r="N5" s="462"/>
      <c r="O5" s="463"/>
      <c r="P5" s="197"/>
      <c r="Q5" s="5"/>
    </row>
    <row r="6" spans="1:17" s="1" customFormat="1" ht="15" customHeight="1" x14ac:dyDescent="0.2">
      <c r="A6" s="456"/>
      <c r="B6" s="459"/>
      <c r="C6" s="467"/>
      <c r="D6" s="468"/>
      <c r="E6" s="469"/>
      <c r="F6" s="464" t="s">
        <v>12</v>
      </c>
      <c r="G6" s="465"/>
      <c r="H6" s="466"/>
      <c r="I6" s="473" t="s">
        <v>11</v>
      </c>
      <c r="J6" s="474"/>
      <c r="K6" s="464" t="s">
        <v>10</v>
      </c>
      <c r="L6" s="465"/>
      <c r="M6" s="466"/>
      <c r="N6" s="473" t="s">
        <v>11</v>
      </c>
      <c r="O6" s="474"/>
      <c r="P6" s="197"/>
      <c r="Q6" s="3"/>
    </row>
    <row r="7" spans="1:17" s="1" customFormat="1" ht="99" customHeight="1" x14ac:dyDescent="0.2">
      <c r="A7" s="457"/>
      <c r="B7" s="460"/>
      <c r="C7" s="470"/>
      <c r="D7" s="471"/>
      <c r="E7" s="472"/>
      <c r="F7" s="470"/>
      <c r="G7" s="471"/>
      <c r="H7" s="472"/>
      <c r="I7" s="7" t="s">
        <v>8</v>
      </c>
      <c r="J7" s="8" t="s">
        <v>9</v>
      </c>
      <c r="K7" s="470"/>
      <c r="L7" s="471"/>
      <c r="M7" s="472"/>
      <c r="N7" s="7" t="s">
        <v>8</v>
      </c>
      <c r="O7" s="9" t="s">
        <v>9</v>
      </c>
      <c r="P7" s="197"/>
      <c r="Q7" s="3"/>
    </row>
    <row r="8" spans="1:17" s="6" customFormat="1" ht="13.5" customHeight="1" x14ac:dyDescent="0.2">
      <c r="A8" s="13"/>
      <c r="B8" s="10"/>
      <c r="C8" s="10" t="s">
        <v>5</v>
      </c>
      <c r="D8" s="10" t="s">
        <v>6</v>
      </c>
      <c r="E8" s="10" t="s">
        <v>7</v>
      </c>
      <c r="F8" s="10" t="s">
        <v>5</v>
      </c>
      <c r="G8" s="10" t="s">
        <v>6</v>
      </c>
      <c r="H8" s="10" t="s">
        <v>7</v>
      </c>
      <c r="I8" s="10"/>
      <c r="J8" s="10"/>
      <c r="K8" s="10" t="s">
        <v>5</v>
      </c>
      <c r="L8" s="10" t="s">
        <v>6</v>
      </c>
      <c r="M8" s="10" t="s">
        <v>7</v>
      </c>
      <c r="N8" s="10"/>
      <c r="O8" s="10"/>
      <c r="P8" s="197"/>
      <c r="Q8" s="5"/>
    </row>
    <row r="9" spans="1:17" s="6" customFormat="1" ht="81.75" customHeight="1" x14ac:dyDescent="0.2">
      <c r="A9" s="14"/>
      <c r="B9" s="238" t="s">
        <v>318</v>
      </c>
      <c r="C9" s="25">
        <v>2000</v>
      </c>
      <c r="D9" s="25">
        <v>1828.2</v>
      </c>
      <c r="E9" s="25">
        <f>D9/C9*100</f>
        <v>91.41</v>
      </c>
      <c r="F9" s="25">
        <v>2000</v>
      </c>
      <c r="G9" s="25">
        <v>1828.2</v>
      </c>
      <c r="H9" s="25">
        <f>G9/F9*100</f>
        <v>91.41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197" t="s">
        <v>336</v>
      </c>
      <c r="Q9" s="5"/>
    </row>
    <row r="10" spans="1:17" s="6" customFormat="1" ht="81.75" customHeight="1" x14ac:dyDescent="0.2">
      <c r="A10" s="14"/>
      <c r="B10" s="238" t="s">
        <v>315</v>
      </c>
      <c r="C10" s="25">
        <v>531212.94999999995</v>
      </c>
      <c r="D10" s="25">
        <v>531212.94999999995</v>
      </c>
      <c r="E10" s="25">
        <f>D10/C10*100</f>
        <v>100</v>
      </c>
      <c r="F10" s="25">
        <v>531212.94999999995</v>
      </c>
      <c r="G10" s="25">
        <v>531212.94999999995</v>
      </c>
      <c r="H10" s="25">
        <f>G10/F10*100</f>
        <v>100</v>
      </c>
      <c r="I10" s="25">
        <v>531212.94999999995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197">
        <v>2010</v>
      </c>
      <c r="Q10" s="5"/>
    </row>
    <row r="11" spans="1:17" s="6" customFormat="1" ht="102.75" customHeight="1" x14ac:dyDescent="0.2">
      <c r="A11" s="183"/>
      <c r="B11" s="184" t="s">
        <v>456</v>
      </c>
      <c r="C11" s="185">
        <v>989156</v>
      </c>
      <c r="D11" s="185">
        <v>0</v>
      </c>
      <c r="E11" s="185">
        <f>D11/C11*100</f>
        <v>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989156</v>
      </c>
      <c r="L11" s="185">
        <v>0</v>
      </c>
      <c r="M11" s="185">
        <f>L11/K11*100</f>
        <v>0</v>
      </c>
      <c r="N11" s="185">
        <v>0</v>
      </c>
      <c r="O11" s="185">
        <v>0</v>
      </c>
      <c r="P11" s="197">
        <v>6290</v>
      </c>
      <c r="Q11" s="5"/>
    </row>
    <row r="12" spans="1:17" s="17" customFormat="1" ht="13.5" customHeight="1" x14ac:dyDescent="0.2">
      <c r="A12" s="16" t="s">
        <v>16</v>
      </c>
      <c r="B12" s="239" t="s">
        <v>17</v>
      </c>
      <c r="C12" s="163">
        <f>SUM(C9:C11)</f>
        <v>1522368.95</v>
      </c>
      <c r="D12" s="163">
        <f>SUM(D9:D11)</f>
        <v>533041.14999999991</v>
      </c>
      <c r="E12" s="26">
        <f t="shared" ref="E12" si="0">D12/C12*100</f>
        <v>35.013926814521533</v>
      </c>
      <c r="F12" s="163">
        <f>SUM(F9:F11)</f>
        <v>533212.94999999995</v>
      </c>
      <c r="G12" s="198">
        <f>SUM(G9:G11)</f>
        <v>533041.14999999991</v>
      </c>
      <c r="H12" s="26">
        <f t="shared" ref="H12" si="1">G12/F12*100</f>
        <v>99.967780227393192</v>
      </c>
      <c r="I12" s="163">
        <f>SUM(I9:I11)</f>
        <v>531212.94999999995</v>
      </c>
      <c r="J12" s="163">
        <f>SUM(J11:J11)</f>
        <v>0</v>
      </c>
      <c r="K12" s="163">
        <f>SUM(K11:K11)</f>
        <v>989156</v>
      </c>
      <c r="L12" s="198">
        <f>SUM(L9:L11)</f>
        <v>0</v>
      </c>
      <c r="M12" s="26">
        <f>L12/K12*100</f>
        <v>0</v>
      </c>
      <c r="N12" s="163">
        <f>SUM(N9:N11)</f>
        <v>0</v>
      </c>
      <c r="O12" s="163">
        <f>SUM(O9:O11)</f>
        <v>0</v>
      </c>
      <c r="P12" s="199"/>
    </row>
    <row r="13" spans="1:17" s="3" customFormat="1" ht="104.25" hidden="1" customHeight="1" x14ac:dyDescent="0.2">
      <c r="A13" s="14"/>
      <c r="B13" s="238" t="s">
        <v>379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 t="e">
        <f>G13/F13*100</f>
        <v>#DIV/0!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197">
        <v>2057</v>
      </c>
    </row>
    <row r="14" spans="1:17" s="3" customFormat="1" ht="103.5" hidden="1" customHeight="1" x14ac:dyDescent="0.2">
      <c r="A14" s="14"/>
      <c r="B14" s="238" t="s">
        <v>379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 t="e">
        <f t="shared" ref="H14" si="2">G14/F14*100</f>
        <v>#DIV/0!</v>
      </c>
      <c r="I14" s="25">
        <v>0</v>
      </c>
      <c r="J14" s="25">
        <v>0</v>
      </c>
      <c r="K14" s="25">
        <v>0</v>
      </c>
      <c r="L14" s="25">
        <v>0</v>
      </c>
      <c r="M14" s="25"/>
      <c r="N14" s="25">
        <v>0</v>
      </c>
      <c r="O14" s="25">
        <v>0</v>
      </c>
      <c r="P14" s="197">
        <v>2059</v>
      </c>
    </row>
    <row r="15" spans="1:17" s="17" customFormat="1" ht="15" hidden="1" customHeight="1" x14ac:dyDescent="0.2">
      <c r="A15" s="16" t="s">
        <v>19</v>
      </c>
      <c r="B15" s="240" t="s">
        <v>20</v>
      </c>
      <c r="C15" s="163">
        <f>SUM(C13:C14)</f>
        <v>0</v>
      </c>
      <c r="D15" s="163">
        <f>-SUM(D13:D14)</f>
        <v>0</v>
      </c>
      <c r="E15" s="26" t="e">
        <f t="shared" ref="E15:E17" si="3">D15/C15*100</f>
        <v>#DIV/0!</v>
      </c>
      <c r="F15" s="163">
        <f>SUM(F13:F14)</f>
        <v>0</v>
      </c>
      <c r="G15" s="163">
        <f>SUM(G13:G14)</f>
        <v>0</v>
      </c>
      <c r="H15" s="26" t="e">
        <f t="shared" ref="H15:H17" si="4">G15/F15*100</f>
        <v>#DIV/0!</v>
      </c>
      <c r="I15" s="163">
        <f>SUM(I13:I14)</f>
        <v>0</v>
      </c>
      <c r="J15" s="163">
        <f>SUM(J13:J14)</f>
        <v>0</v>
      </c>
      <c r="K15" s="163">
        <f>SUM(K13:K14)</f>
        <v>0</v>
      </c>
      <c r="L15" s="163">
        <f>L13</f>
        <v>0</v>
      </c>
      <c r="M15" s="26">
        <v>0</v>
      </c>
      <c r="N15" s="163">
        <f>SUM(N13:N14)</f>
        <v>0</v>
      </c>
      <c r="O15" s="163">
        <f>O13</f>
        <v>0</v>
      </c>
      <c r="P15" s="199"/>
    </row>
    <row r="16" spans="1:17" s="3" customFormat="1" ht="33.75" x14ac:dyDescent="0.2">
      <c r="A16" s="14"/>
      <c r="B16" s="238" t="s">
        <v>21</v>
      </c>
      <c r="C16" s="25">
        <v>32113</v>
      </c>
      <c r="D16" s="25">
        <v>32557.8</v>
      </c>
      <c r="E16" s="25">
        <f t="shared" si="3"/>
        <v>101.38510883442842</v>
      </c>
      <c r="F16" s="25">
        <v>32113</v>
      </c>
      <c r="G16" s="25">
        <f t="shared" ref="F16:G23" si="5">D16-L16</f>
        <v>32557.8</v>
      </c>
      <c r="H16" s="25">
        <f t="shared" si="4"/>
        <v>101.38510883442842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197" t="s">
        <v>337</v>
      </c>
    </row>
    <row r="17" spans="1:18" s="3" customFormat="1" ht="92.25" customHeight="1" x14ac:dyDescent="0.2">
      <c r="A17" s="14"/>
      <c r="B17" s="238" t="s">
        <v>15</v>
      </c>
      <c r="C17" s="25">
        <f>90805+156791</f>
        <v>247596</v>
      </c>
      <c r="D17" s="25">
        <f>105220.88+153903.35</f>
        <v>259124.23</v>
      </c>
      <c r="E17" s="25">
        <f t="shared" si="3"/>
        <v>104.65606471833149</v>
      </c>
      <c r="F17" s="25">
        <f>C17</f>
        <v>247596</v>
      </c>
      <c r="G17" s="25">
        <f>D17</f>
        <v>259124.23</v>
      </c>
      <c r="H17" s="25">
        <f t="shared" si="4"/>
        <v>104.65606471833149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197" t="s">
        <v>336</v>
      </c>
    </row>
    <row r="18" spans="1:18" s="3" customFormat="1" ht="36" customHeight="1" x14ac:dyDescent="0.2">
      <c r="A18" s="14"/>
      <c r="B18" s="238" t="s">
        <v>307</v>
      </c>
      <c r="C18" s="25">
        <v>0</v>
      </c>
      <c r="D18" s="25">
        <v>4852.3100000000004</v>
      </c>
      <c r="E18" s="25">
        <v>0</v>
      </c>
      <c r="F18" s="25">
        <f t="shared" si="5"/>
        <v>0</v>
      </c>
      <c r="G18" s="200">
        <v>0</v>
      </c>
      <c r="H18" s="25">
        <v>0</v>
      </c>
      <c r="I18" s="25">
        <v>0</v>
      </c>
      <c r="J18" s="25">
        <v>0</v>
      </c>
      <c r="K18" s="25">
        <v>0</v>
      </c>
      <c r="L18" s="25">
        <v>4852.3100000000004</v>
      </c>
      <c r="M18" s="25">
        <v>0</v>
      </c>
      <c r="N18" s="25">
        <v>0</v>
      </c>
      <c r="O18" s="25">
        <v>0</v>
      </c>
      <c r="P18" s="197" t="s">
        <v>338</v>
      </c>
    </row>
    <row r="19" spans="1:18" s="3" customFormat="1" ht="22.5" hidden="1" x14ac:dyDescent="0.2">
      <c r="A19" s="14"/>
      <c r="B19" s="238" t="s">
        <v>339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197" t="s">
        <v>340</v>
      </c>
    </row>
    <row r="20" spans="1:18" s="3" customFormat="1" ht="33.75" x14ac:dyDescent="0.2">
      <c r="A20" s="14"/>
      <c r="B20" s="238" t="s">
        <v>43</v>
      </c>
      <c r="C20" s="25">
        <v>0</v>
      </c>
      <c r="D20" s="25">
        <v>240.24</v>
      </c>
      <c r="E20" s="25">
        <v>0</v>
      </c>
      <c r="F20" s="25">
        <f t="shared" si="5"/>
        <v>0</v>
      </c>
      <c r="G20" s="25">
        <f t="shared" si="5"/>
        <v>240.24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197" t="s">
        <v>341</v>
      </c>
    </row>
    <row r="21" spans="1:18" s="3" customFormat="1" ht="12" customHeight="1" x14ac:dyDescent="0.2">
      <c r="A21" s="14"/>
      <c r="B21" s="238" t="s">
        <v>46</v>
      </c>
      <c r="C21" s="25">
        <v>0</v>
      </c>
      <c r="D21" s="25">
        <f>15.34+13.4</f>
        <v>28.740000000000002</v>
      </c>
      <c r="E21" s="25">
        <v>0</v>
      </c>
      <c r="F21" s="25">
        <f t="shared" si="5"/>
        <v>0</v>
      </c>
      <c r="G21" s="25">
        <f t="shared" si="5"/>
        <v>28.740000000000002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197" t="s">
        <v>342</v>
      </c>
    </row>
    <row r="22" spans="1:18" s="3" customFormat="1" ht="14.25" hidden="1" customHeight="1" x14ac:dyDescent="0.2">
      <c r="A22" s="14"/>
      <c r="B22" s="238" t="s">
        <v>14</v>
      </c>
      <c r="C22" s="25">
        <v>0</v>
      </c>
      <c r="D22" s="25">
        <v>0</v>
      </c>
      <c r="E22" s="25">
        <v>0</v>
      </c>
      <c r="F22" s="25">
        <f t="shared" si="5"/>
        <v>0</v>
      </c>
      <c r="G22" s="25">
        <f t="shared" si="5"/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197" t="s">
        <v>343</v>
      </c>
    </row>
    <row r="23" spans="1:18" s="3" customFormat="1" ht="100.5" hidden="1" customHeight="1" x14ac:dyDescent="0.2">
      <c r="A23" s="14"/>
      <c r="B23" s="238"/>
      <c r="C23" s="25">
        <v>0</v>
      </c>
      <c r="D23" s="25">
        <v>0</v>
      </c>
      <c r="E23" s="25" t="e">
        <f t="shared" ref="E23" si="6">D23/C23*100</f>
        <v>#DIV/0!</v>
      </c>
      <c r="F23" s="25">
        <v>0</v>
      </c>
      <c r="G23" s="25">
        <f t="shared" si="5"/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197">
        <v>6257</v>
      </c>
    </row>
    <row r="24" spans="1:18" s="17" customFormat="1" ht="24.75" customHeight="1" x14ac:dyDescent="0.2">
      <c r="A24" s="348" t="s">
        <v>22</v>
      </c>
      <c r="B24" s="239" t="s">
        <v>23</v>
      </c>
      <c r="C24" s="346">
        <f>SUM(C16:C23)</f>
        <v>279709</v>
      </c>
      <c r="D24" s="346">
        <f>SUM(D16:D23)</f>
        <v>296803.32</v>
      </c>
      <c r="E24" s="26">
        <f t="shared" ref="E24:E38" si="7">D24/C24*100</f>
        <v>106.11146584486019</v>
      </c>
      <c r="F24" s="346">
        <f>SUM(F16:F23)</f>
        <v>279709</v>
      </c>
      <c r="G24" s="347">
        <f>SUM(G16:G23)</f>
        <v>291951.01</v>
      </c>
      <c r="H24" s="26">
        <f>G24/F24*100</f>
        <v>104.3766950652285</v>
      </c>
      <c r="I24" s="346">
        <f>SUM(I16:I23)</f>
        <v>0</v>
      </c>
      <c r="J24" s="346">
        <f>SUM(J16:J23)</f>
        <v>0</v>
      </c>
      <c r="K24" s="346">
        <f>SUM(K16:K23)</f>
        <v>0</v>
      </c>
      <c r="L24" s="347">
        <f>SUM(L16:L23)</f>
        <v>4852.3100000000004</v>
      </c>
      <c r="M24" s="26">
        <v>0</v>
      </c>
      <c r="N24" s="346">
        <f>SUM(N16:N23)</f>
        <v>0</v>
      </c>
      <c r="O24" s="346">
        <f>SUM(O16:O23)</f>
        <v>0</v>
      </c>
      <c r="P24" s="199"/>
    </row>
    <row r="25" spans="1:18" s="17" customFormat="1" ht="80.25" customHeight="1" x14ac:dyDescent="0.2">
      <c r="A25" s="16"/>
      <c r="B25" s="238" t="s">
        <v>385</v>
      </c>
      <c r="C25" s="167">
        <v>140000</v>
      </c>
      <c r="D25" s="167">
        <v>140000</v>
      </c>
      <c r="E25" s="25">
        <f t="shared" si="7"/>
        <v>100</v>
      </c>
      <c r="F25" s="167">
        <v>140000</v>
      </c>
      <c r="G25" s="345">
        <v>140000</v>
      </c>
      <c r="H25" s="25">
        <f>G25/F25*100</f>
        <v>100</v>
      </c>
      <c r="I25" s="167">
        <v>0</v>
      </c>
      <c r="J25" s="167">
        <v>140000</v>
      </c>
      <c r="K25" s="167">
        <v>0</v>
      </c>
      <c r="L25" s="345">
        <v>0</v>
      </c>
      <c r="M25" s="25">
        <v>0</v>
      </c>
      <c r="N25" s="167">
        <v>0</v>
      </c>
      <c r="O25" s="167">
        <v>0</v>
      </c>
      <c r="P25" s="199"/>
    </row>
    <row r="26" spans="1:18" s="17" customFormat="1" ht="83.25" customHeight="1" x14ac:dyDescent="0.2">
      <c r="A26" s="16"/>
      <c r="B26" s="238" t="s">
        <v>18</v>
      </c>
      <c r="C26" s="167">
        <v>100000</v>
      </c>
      <c r="D26" s="167">
        <v>100000</v>
      </c>
      <c r="E26" s="25">
        <f t="shared" si="7"/>
        <v>100</v>
      </c>
      <c r="F26" s="167">
        <v>0</v>
      </c>
      <c r="G26" s="345">
        <v>0</v>
      </c>
      <c r="H26" s="25">
        <v>0</v>
      </c>
      <c r="I26" s="167">
        <v>0</v>
      </c>
      <c r="J26" s="167">
        <v>0</v>
      </c>
      <c r="K26" s="167">
        <v>100000</v>
      </c>
      <c r="L26" s="345">
        <v>100000</v>
      </c>
      <c r="M26" s="25">
        <f>L26/K26*100</f>
        <v>100</v>
      </c>
      <c r="N26" s="167">
        <v>0</v>
      </c>
      <c r="O26" s="167">
        <v>100000</v>
      </c>
      <c r="P26" s="199"/>
    </row>
    <row r="27" spans="1:18" s="17" customFormat="1" ht="11.25" x14ac:dyDescent="0.2">
      <c r="A27" s="16" t="s">
        <v>387</v>
      </c>
      <c r="B27" s="239" t="s">
        <v>388</v>
      </c>
      <c r="C27" s="163">
        <f>C25+C26</f>
        <v>240000</v>
      </c>
      <c r="D27" s="163">
        <f>D25+D26</f>
        <v>240000</v>
      </c>
      <c r="E27" s="26">
        <f t="shared" si="7"/>
        <v>100</v>
      </c>
      <c r="F27" s="163">
        <f>F25+F26</f>
        <v>140000</v>
      </c>
      <c r="G27" s="198">
        <f>G25+G26</f>
        <v>140000</v>
      </c>
      <c r="H27" s="26">
        <f>G27/F27*100</f>
        <v>100</v>
      </c>
      <c r="I27" s="163">
        <v>0</v>
      </c>
      <c r="J27" s="163">
        <f>J26+J25</f>
        <v>140000</v>
      </c>
      <c r="K27" s="163">
        <f>K26+K25</f>
        <v>100000</v>
      </c>
      <c r="L27" s="198">
        <f>L26+L25</f>
        <v>100000</v>
      </c>
      <c r="M27" s="26">
        <f>L27/K27*100</f>
        <v>100</v>
      </c>
      <c r="N27" s="163">
        <f>N25+N26</f>
        <v>0</v>
      </c>
      <c r="O27" s="163">
        <f>O25+O26</f>
        <v>100000</v>
      </c>
      <c r="P27" s="199"/>
    </row>
    <row r="28" spans="1:18" s="17" customFormat="1" ht="27.75" hidden="1" customHeight="1" x14ac:dyDescent="0.2">
      <c r="A28" s="14"/>
      <c r="B28" s="238" t="s">
        <v>308</v>
      </c>
      <c r="C28" s="25">
        <v>0</v>
      </c>
      <c r="D28" s="25">
        <v>0</v>
      </c>
      <c r="E28" s="25" t="e">
        <f t="shared" si="7"/>
        <v>#DIV/0!</v>
      </c>
      <c r="F28" s="25">
        <v>0</v>
      </c>
      <c r="G28" s="25">
        <f>D28-L28</f>
        <v>0</v>
      </c>
      <c r="H28" s="25" t="e">
        <f>G28/F28*100</f>
        <v>#DIV/0!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197" t="s">
        <v>344</v>
      </c>
      <c r="R28" s="17" t="s">
        <v>386</v>
      </c>
    </row>
    <row r="29" spans="1:18" s="3" customFormat="1" ht="78.75" customHeight="1" x14ac:dyDescent="0.2">
      <c r="A29" s="14"/>
      <c r="B29" s="238" t="s">
        <v>315</v>
      </c>
      <c r="C29" s="25">
        <v>87809.33</v>
      </c>
      <c r="D29" s="25">
        <v>85726.2</v>
      </c>
      <c r="E29" s="25">
        <f t="shared" si="7"/>
        <v>97.627666672778389</v>
      </c>
      <c r="F29" s="25">
        <f>C29</f>
        <v>87809.33</v>
      </c>
      <c r="G29" s="25">
        <f>D29</f>
        <v>85726.2</v>
      </c>
      <c r="H29" s="25">
        <f>G29/F29*100</f>
        <v>97.627666672778389</v>
      </c>
      <c r="I29" s="25">
        <f>G29</f>
        <v>85726.2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197">
        <v>2010</v>
      </c>
    </row>
    <row r="30" spans="1:18" s="3" customFormat="1" ht="79.5" hidden="1" customHeight="1" x14ac:dyDescent="0.2">
      <c r="A30" s="14"/>
      <c r="B30" s="238" t="s">
        <v>345</v>
      </c>
      <c r="C30" s="25">
        <v>0</v>
      </c>
      <c r="D30" s="25">
        <v>0</v>
      </c>
      <c r="E30" s="25" t="e">
        <f t="shared" si="7"/>
        <v>#DIV/0!</v>
      </c>
      <c r="F30" s="25">
        <v>0</v>
      </c>
      <c r="G30" s="25">
        <f t="shared" ref="G30:G33" si="8">D30-L30</f>
        <v>0</v>
      </c>
      <c r="H30" s="25" t="e">
        <f>G30/F30*100</f>
        <v>#DIV/0!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197">
        <v>2700</v>
      </c>
    </row>
    <row r="31" spans="1:18" s="3" customFormat="1" ht="67.5" x14ac:dyDescent="0.2">
      <c r="A31" s="14"/>
      <c r="B31" s="238" t="s">
        <v>56</v>
      </c>
      <c r="C31" s="25">
        <v>0</v>
      </c>
      <c r="D31" s="25">
        <v>26.35</v>
      </c>
      <c r="E31" s="25">
        <v>0</v>
      </c>
      <c r="F31" s="25">
        <f t="shared" ref="F31:F33" si="9">C31-K31</f>
        <v>0</v>
      </c>
      <c r="G31" s="25">
        <f t="shared" si="8"/>
        <v>26.35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197">
        <v>2360</v>
      </c>
    </row>
    <row r="32" spans="1:18" s="3" customFormat="1" ht="81.75" customHeight="1" x14ac:dyDescent="0.2">
      <c r="A32" s="14"/>
      <c r="B32" s="238" t="s">
        <v>318</v>
      </c>
      <c r="C32" s="25">
        <v>0</v>
      </c>
      <c r="D32" s="25">
        <v>15886.87</v>
      </c>
      <c r="E32" s="25">
        <v>0</v>
      </c>
      <c r="F32" s="25">
        <f t="shared" si="9"/>
        <v>0</v>
      </c>
      <c r="G32" s="25">
        <f t="shared" si="8"/>
        <v>15886.87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197" t="s">
        <v>336</v>
      </c>
    </row>
    <row r="33" spans="1:16" s="3" customFormat="1" ht="12" customHeight="1" x14ac:dyDescent="0.2">
      <c r="A33" s="14"/>
      <c r="B33" s="238" t="s">
        <v>46</v>
      </c>
      <c r="C33" s="25">
        <v>0</v>
      </c>
      <c r="D33" s="25">
        <v>4.2699999999999996</v>
      </c>
      <c r="E33" s="25">
        <v>0</v>
      </c>
      <c r="F33" s="25">
        <f t="shared" si="9"/>
        <v>0</v>
      </c>
      <c r="G33" s="25">
        <f t="shared" si="8"/>
        <v>4.2699999999999996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197" t="s">
        <v>342</v>
      </c>
    </row>
    <row r="34" spans="1:16" s="3" customFormat="1" ht="34.5" customHeight="1" x14ac:dyDescent="0.2">
      <c r="A34" s="14"/>
      <c r="B34" s="238" t="s">
        <v>326</v>
      </c>
      <c r="C34" s="25">
        <v>0</v>
      </c>
      <c r="D34" s="25">
        <v>10</v>
      </c>
      <c r="E34" s="25">
        <v>0</v>
      </c>
      <c r="F34" s="25">
        <v>0</v>
      </c>
      <c r="G34" s="25">
        <v>10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197"/>
    </row>
    <row r="35" spans="1:16" s="3" customFormat="1" ht="34.5" customHeight="1" x14ac:dyDescent="0.2">
      <c r="A35" s="14"/>
      <c r="B35" s="238" t="s">
        <v>437</v>
      </c>
      <c r="C35" s="25">
        <v>700</v>
      </c>
      <c r="D35" s="25">
        <v>700</v>
      </c>
      <c r="E35" s="25">
        <f>D35/C35*100</f>
        <v>100</v>
      </c>
      <c r="F35" s="25">
        <v>700</v>
      </c>
      <c r="G35" s="25">
        <f>D35</f>
        <v>700</v>
      </c>
      <c r="H35" s="25">
        <f>G35/F35*100</f>
        <v>100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197"/>
    </row>
    <row r="36" spans="1:16" s="3" customFormat="1" ht="12" customHeight="1" x14ac:dyDescent="0.2">
      <c r="A36" s="14"/>
      <c r="B36" s="238" t="s">
        <v>14</v>
      </c>
      <c r="C36" s="25">
        <f>700+3100</f>
        <v>3800</v>
      </c>
      <c r="D36" s="25">
        <f>837+3100</f>
        <v>3937</v>
      </c>
      <c r="E36" s="25">
        <f t="shared" si="7"/>
        <v>103.60526315789474</v>
      </c>
      <c r="F36" s="25">
        <f>C36</f>
        <v>3800</v>
      </c>
      <c r="G36" s="25">
        <f>D36</f>
        <v>3937</v>
      </c>
      <c r="H36" s="25">
        <f>G36/F36*100</f>
        <v>103.60526315789474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197" t="s">
        <v>343</v>
      </c>
    </row>
    <row r="37" spans="1:16" s="3" customFormat="1" ht="60" customHeight="1" x14ac:dyDescent="0.2">
      <c r="A37" s="14"/>
      <c r="B37" s="238" t="s">
        <v>436</v>
      </c>
      <c r="C37" s="25">
        <v>6352</v>
      </c>
      <c r="D37" s="25">
        <v>6352</v>
      </c>
      <c r="E37" s="25">
        <f t="shared" si="7"/>
        <v>100</v>
      </c>
      <c r="F37" s="25">
        <v>6352</v>
      </c>
      <c r="G37" s="25">
        <f>D37</f>
        <v>6352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197"/>
    </row>
    <row r="38" spans="1:16" s="17" customFormat="1" ht="19.5" customHeight="1" x14ac:dyDescent="0.2">
      <c r="A38" s="16" t="s">
        <v>25</v>
      </c>
      <c r="B38" s="239" t="s">
        <v>102</v>
      </c>
      <c r="C38" s="163">
        <f>SUM(C28:C37)</f>
        <v>98661.33</v>
      </c>
      <c r="D38" s="163">
        <f>SUM(D29:D37)</f>
        <v>112642.69</v>
      </c>
      <c r="E38" s="26">
        <f t="shared" si="7"/>
        <v>114.17106377949699</v>
      </c>
      <c r="F38" s="163">
        <f>SUM(F28:F37)</f>
        <v>98661.33</v>
      </c>
      <c r="G38" s="163">
        <f>SUM(G29:G37)</f>
        <v>112642.69</v>
      </c>
      <c r="H38" s="26">
        <f t="shared" ref="H38:H43" si="10">G38/F38*100</f>
        <v>114.17106377949699</v>
      </c>
      <c r="I38" s="163">
        <f>SUM(I29:I36)</f>
        <v>85726.2</v>
      </c>
      <c r="J38" s="163">
        <f>SUM(J29:J36)</f>
        <v>0</v>
      </c>
      <c r="K38" s="163">
        <f>SUM(K29:K36)</f>
        <v>0</v>
      </c>
      <c r="L38" s="163">
        <f>SUM(L29:L36)</f>
        <v>0</v>
      </c>
      <c r="M38" s="26">
        <v>0</v>
      </c>
      <c r="N38" s="163">
        <f>SUM(N29:N36)</f>
        <v>0</v>
      </c>
      <c r="O38" s="163">
        <f>SUM(O29:O36)</f>
        <v>0</v>
      </c>
      <c r="P38" s="199"/>
    </row>
    <row r="39" spans="1:16" s="3" customFormat="1" ht="79.5" customHeight="1" x14ac:dyDescent="0.2">
      <c r="A39" s="14"/>
      <c r="B39" s="238" t="s">
        <v>315</v>
      </c>
      <c r="C39" s="25">
        <v>1346</v>
      </c>
      <c r="D39" s="25">
        <v>1346</v>
      </c>
      <c r="E39" s="25">
        <f t="shared" ref="E39:E40" si="11">D39/C39*100</f>
        <v>100</v>
      </c>
      <c r="F39" s="25">
        <v>1346</v>
      </c>
      <c r="G39" s="25">
        <f>D39-L39</f>
        <v>1346</v>
      </c>
      <c r="H39" s="25">
        <f t="shared" si="10"/>
        <v>100</v>
      </c>
      <c r="I39" s="25">
        <f>G39</f>
        <v>1346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197">
        <v>2010</v>
      </c>
    </row>
    <row r="40" spans="1:16" s="17" customFormat="1" ht="56.25" customHeight="1" x14ac:dyDescent="0.2">
      <c r="A40" s="16" t="s">
        <v>26</v>
      </c>
      <c r="B40" s="239" t="s">
        <v>27</v>
      </c>
      <c r="C40" s="163">
        <f>C39</f>
        <v>1346</v>
      </c>
      <c r="D40" s="163">
        <f>D39</f>
        <v>1346</v>
      </c>
      <c r="E40" s="26">
        <f t="shared" si="11"/>
        <v>100</v>
      </c>
      <c r="F40" s="163">
        <f>F39</f>
        <v>1346</v>
      </c>
      <c r="G40" s="163">
        <f>G39</f>
        <v>1346</v>
      </c>
      <c r="H40" s="26">
        <f t="shared" si="10"/>
        <v>100</v>
      </c>
      <c r="I40" s="163">
        <f>I39</f>
        <v>1346</v>
      </c>
      <c r="J40" s="163">
        <f>J39</f>
        <v>0</v>
      </c>
      <c r="K40" s="163">
        <f>K39</f>
        <v>0</v>
      </c>
      <c r="L40" s="163">
        <f>L39</f>
        <v>0</v>
      </c>
      <c r="M40" s="26">
        <v>0</v>
      </c>
      <c r="N40" s="163">
        <f>N39</f>
        <v>0</v>
      </c>
      <c r="O40" s="163">
        <f>O39</f>
        <v>0</v>
      </c>
      <c r="P40" s="199"/>
    </row>
    <row r="41" spans="1:16" s="17" customFormat="1" ht="66.75" customHeight="1" x14ac:dyDescent="0.2">
      <c r="A41" s="14"/>
      <c r="B41" s="238" t="s">
        <v>396</v>
      </c>
      <c r="C41" s="25">
        <v>50000</v>
      </c>
      <c r="D41" s="25">
        <v>50000</v>
      </c>
      <c r="E41" s="25">
        <f>D41/C41*100</f>
        <v>100</v>
      </c>
      <c r="F41" s="25">
        <v>50000</v>
      </c>
      <c r="G41" s="25">
        <v>50000</v>
      </c>
      <c r="H41" s="25">
        <f t="shared" si="10"/>
        <v>100</v>
      </c>
      <c r="I41" s="25">
        <v>50000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199"/>
    </row>
    <row r="42" spans="1:16" s="17" customFormat="1" ht="48" customHeight="1" x14ac:dyDescent="0.2">
      <c r="A42" s="14"/>
      <c r="B42" s="238" t="s">
        <v>438</v>
      </c>
      <c r="C42" s="25">
        <v>2532960.5099999998</v>
      </c>
      <c r="D42" s="25">
        <v>2518630.04</v>
      </c>
      <c r="E42" s="25">
        <f>D42/C42*100</f>
        <v>99.434240291413005</v>
      </c>
      <c r="F42" s="25">
        <f>C42</f>
        <v>2532960.5099999998</v>
      </c>
      <c r="G42" s="25">
        <f>D42</f>
        <v>2518630.04</v>
      </c>
      <c r="H42" s="25">
        <f t="shared" si="10"/>
        <v>99.434240291413005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199"/>
    </row>
    <row r="43" spans="1:16" s="17" customFormat="1" ht="35.25" customHeight="1" x14ac:dyDescent="0.2">
      <c r="A43" s="16" t="s">
        <v>28</v>
      </c>
      <c r="B43" s="239" t="s">
        <v>29</v>
      </c>
      <c r="C43" s="163">
        <f>C41+C42</f>
        <v>2582960.5099999998</v>
      </c>
      <c r="D43" s="163">
        <f>D41+D42</f>
        <v>2568630.04</v>
      </c>
      <c r="E43" s="26">
        <f xml:space="preserve"> D43/C43*100</f>
        <v>99.44519205986623</v>
      </c>
      <c r="F43" s="163">
        <f>F41+F42</f>
        <v>2582960.5099999998</v>
      </c>
      <c r="G43" s="163">
        <f>G41+G42</f>
        <v>2568630.04</v>
      </c>
      <c r="H43" s="163">
        <f t="shared" si="10"/>
        <v>99.44519205986623</v>
      </c>
      <c r="I43" s="163">
        <f t="shared" ref="I43" si="12">I41</f>
        <v>50000</v>
      </c>
      <c r="J43" s="163">
        <f t="shared" ref="J43" si="13">J41</f>
        <v>0</v>
      </c>
      <c r="K43" s="163">
        <f t="shared" ref="K43" si="14">K41</f>
        <v>0</v>
      </c>
      <c r="L43" s="163">
        <f t="shared" ref="L43" si="15">L41</f>
        <v>0</v>
      </c>
      <c r="M43" s="163">
        <f t="shared" ref="M43" si="16">M41</f>
        <v>0</v>
      </c>
      <c r="N43" s="163">
        <f t="shared" ref="N43" si="17">N41</f>
        <v>0</v>
      </c>
      <c r="O43" s="163">
        <f t="shared" ref="O43" si="18">O41</f>
        <v>0</v>
      </c>
      <c r="P43" s="199"/>
    </row>
    <row r="44" spans="1:16" s="3" customFormat="1" ht="25.5" customHeight="1" x14ac:dyDescent="0.2">
      <c r="A44" s="14"/>
      <c r="B44" s="238" t="s">
        <v>30</v>
      </c>
      <c r="C44" s="25">
        <v>7246972.5700000003</v>
      </c>
      <c r="D44" s="25">
        <v>7246972.5700000003</v>
      </c>
      <c r="E44" s="25">
        <f t="shared" ref="E44:E61" si="19">D44/C44*100</f>
        <v>100</v>
      </c>
      <c r="F44" s="25">
        <f t="shared" ref="F44:F50" si="20">C44</f>
        <v>7246972.5700000003</v>
      </c>
      <c r="G44" s="25">
        <f t="shared" ref="G44:G69" si="21">D44-L44</f>
        <v>7246972.5700000003</v>
      </c>
      <c r="H44" s="25">
        <f t="shared" ref="H44:H61" si="22">G44/F44*100</f>
        <v>100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197" t="s">
        <v>346</v>
      </c>
    </row>
    <row r="45" spans="1:16" s="3" customFormat="1" ht="25.5" customHeight="1" x14ac:dyDescent="0.2">
      <c r="A45" s="14"/>
      <c r="B45" s="238" t="s">
        <v>31</v>
      </c>
      <c r="C45" s="25">
        <v>1078076</v>
      </c>
      <c r="D45" s="25">
        <v>1054430.45</v>
      </c>
      <c r="E45" s="25">
        <f t="shared" si="19"/>
        <v>97.806689880861825</v>
      </c>
      <c r="F45" s="25">
        <f t="shared" si="20"/>
        <v>1078076</v>
      </c>
      <c r="G45" s="25">
        <f t="shared" si="21"/>
        <v>1054430.45</v>
      </c>
      <c r="H45" s="25">
        <f t="shared" si="22"/>
        <v>97.806689880861825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197" t="s">
        <v>347</v>
      </c>
    </row>
    <row r="46" spans="1:16" s="3" customFormat="1" ht="33" customHeight="1" x14ac:dyDescent="0.2">
      <c r="A46" s="14"/>
      <c r="B46" s="238" t="s">
        <v>389</v>
      </c>
      <c r="C46" s="25">
        <v>56846.27</v>
      </c>
      <c r="D46" s="25">
        <v>56846.27</v>
      </c>
      <c r="E46" s="25">
        <f t="shared" si="19"/>
        <v>100</v>
      </c>
      <c r="F46" s="25">
        <f t="shared" si="20"/>
        <v>56846.27</v>
      </c>
      <c r="G46" s="25">
        <f>D46</f>
        <v>56846.27</v>
      </c>
      <c r="H46" s="25">
        <f>G46/F46*100</f>
        <v>100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197"/>
    </row>
    <row r="47" spans="1:16" s="3" customFormat="1" ht="22.5" x14ac:dyDescent="0.2">
      <c r="A47" s="14"/>
      <c r="B47" s="238" t="s">
        <v>32</v>
      </c>
      <c r="C47" s="25">
        <f>9066750+791720</f>
        <v>9858470</v>
      </c>
      <c r="D47" s="25">
        <f>9787617.53+909062.49</f>
        <v>10696680.02</v>
      </c>
      <c r="E47" s="25">
        <f t="shared" si="19"/>
        <v>108.50243516488867</v>
      </c>
      <c r="F47" s="25">
        <f t="shared" si="20"/>
        <v>9858470</v>
      </c>
      <c r="G47" s="25">
        <f t="shared" si="21"/>
        <v>10696680.02</v>
      </c>
      <c r="H47" s="25">
        <f t="shared" si="22"/>
        <v>108.50243516488867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197" t="s">
        <v>348</v>
      </c>
    </row>
    <row r="48" spans="1:16" s="3" customFormat="1" ht="12" customHeight="1" x14ac:dyDescent="0.2">
      <c r="A48" s="14"/>
      <c r="B48" s="238" t="s">
        <v>33</v>
      </c>
      <c r="C48" s="25">
        <f>33890+1348570</f>
        <v>1382460</v>
      </c>
      <c r="D48" s="25">
        <f>32477+1292738.99</f>
        <v>1325215.99</v>
      </c>
      <c r="E48" s="25">
        <f t="shared" si="19"/>
        <v>95.859264644185004</v>
      </c>
      <c r="F48" s="25">
        <f t="shared" si="20"/>
        <v>1382460</v>
      </c>
      <c r="G48" s="25">
        <f t="shared" si="21"/>
        <v>1325215.99</v>
      </c>
      <c r="H48" s="25">
        <f t="shared" si="22"/>
        <v>95.859264644185004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197" t="s">
        <v>349</v>
      </c>
    </row>
    <row r="49" spans="1:16" s="3" customFormat="1" ht="12" customHeight="1" x14ac:dyDescent="0.2">
      <c r="A49" s="14"/>
      <c r="B49" s="238" t="s">
        <v>34</v>
      </c>
      <c r="C49" s="25">
        <f>40547+4482</f>
        <v>45029</v>
      </c>
      <c r="D49" s="25">
        <f>28240+3809</f>
        <v>32049</v>
      </c>
      <c r="E49" s="25">
        <f t="shared" si="19"/>
        <v>71.174132225898873</v>
      </c>
      <c r="F49" s="25">
        <f t="shared" si="20"/>
        <v>45029</v>
      </c>
      <c r="G49" s="25">
        <f t="shared" si="21"/>
        <v>32049</v>
      </c>
      <c r="H49" s="25">
        <f t="shared" si="22"/>
        <v>71.174132225898873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197" t="s">
        <v>350</v>
      </c>
    </row>
    <row r="50" spans="1:16" s="3" customFormat="1" ht="22.5" x14ac:dyDescent="0.2">
      <c r="A50" s="14"/>
      <c r="B50" s="238" t="s">
        <v>35</v>
      </c>
      <c r="C50" s="25">
        <f>193192+449029.95</f>
        <v>642221.94999999995</v>
      </c>
      <c r="D50" s="25">
        <f>222953.39+481120.7</f>
        <v>704074.09000000008</v>
      </c>
      <c r="E50" s="25">
        <f t="shared" si="19"/>
        <v>109.63096013769074</v>
      </c>
      <c r="F50" s="25">
        <f t="shared" si="20"/>
        <v>642221.94999999995</v>
      </c>
      <c r="G50" s="25">
        <f t="shared" si="21"/>
        <v>704074.09000000008</v>
      </c>
      <c r="H50" s="25">
        <f t="shared" si="22"/>
        <v>109.63096013769074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197" t="s">
        <v>351</v>
      </c>
    </row>
    <row r="51" spans="1:16" s="3" customFormat="1" ht="22.5" x14ac:dyDescent="0.2">
      <c r="A51" s="14"/>
      <c r="B51" s="238" t="s">
        <v>42</v>
      </c>
      <c r="C51" s="25">
        <f>2250+199562</f>
        <v>201812</v>
      </c>
      <c r="D51" s="25">
        <f>1936+272927.64</f>
        <v>274863.64</v>
      </c>
      <c r="E51" s="25">
        <f>D51/C51*100</f>
        <v>136.19786732206211</v>
      </c>
      <c r="F51" s="25">
        <f>C51</f>
        <v>201812</v>
      </c>
      <c r="G51" s="25">
        <f>D51</f>
        <v>274863.64</v>
      </c>
      <c r="H51" s="25">
        <f t="shared" si="22"/>
        <v>136.19786732206211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197"/>
    </row>
    <row r="52" spans="1:16" s="3" customFormat="1" ht="49.5" customHeight="1" x14ac:dyDescent="0.2">
      <c r="A52" s="14"/>
      <c r="B52" s="238" t="s">
        <v>36</v>
      </c>
      <c r="C52" s="25">
        <v>13750</v>
      </c>
      <c r="D52" s="25">
        <v>20868.25</v>
      </c>
      <c r="E52" s="25">
        <f t="shared" si="19"/>
        <v>151.76909090909092</v>
      </c>
      <c r="F52" s="25">
        <v>13750</v>
      </c>
      <c r="G52" s="25">
        <f t="shared" si="21"/>
        <v>20868.25</v>
      </c>
      <c r="H52" s="25">
        <f t="shared" si="22"/>
        <v>151.76909090909092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197" t="s">
        <v>352</v>
      </c>
    </row>
    <row r="53" spans="1:16" s="3" customFormat="1" ht="22.5" x14ac:dyDescent="0.2">
      <c r="A53" s="14"/>
      <c r="B53" s="238" t="s">
        <v>37</v>
      </c>
      <c r="C53" s="25">
        <v>2422</v>
      </c>
      <c r="D53" s="25">
        <v>5011</v>
      </c>
      <c r="E53" s="25">
        <f t="shared" si="19"/>
        <v>206.89512799339388</v>
      </c>
      <c r="F53" s="25">
        <v>2422</v>
      </c>
      <c r="G53" s="25">
        <v>5011</v>
      </c>
      <c r="H53" s="25">
        <f t="shared" si="22"/>
        <v>206.89512799339388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197" t="s">
        <v>353</v>
      </c>
    </row>
    <row r="54" spans="1:16" s="3" customFormat="1" ht="12" customHeight="1" x14ac:dyDescent="0.2">
      <c r="A54" s="14"/>
      <c r="B54" s="238" t="s">
        <v>38</v>
      </c>
      <c r="C54" s="25">
        <v>29000</v>
      </c>
      <c r="D54" s="25">
        <v>31820</v>
      </c>
      <c r="E54" s="25">
        <f t="shared" si="19"/>
        <v>109.72413793103448</v>
      </c>
      <c r="F54" s="25">
        <v>29000</v>
      </c>
      <c r="G54" s="25">
        <f t="shared" si="21"/>
        <v>31820</v>
      </c>
      <c r="H54" s="25">
        <f t="shared" si="22"/>
        <v>109.72413793103448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197" t="s">
        <v>354</v>
      </c>
    </row>
    <row r="55" spans="1:16" s="3" customFormat="1" ht="12" customHeight="1" x14ac:dyDescent="0.2">
      <c r="A55" s="14"/>
      <c r="B55" s="238" t="s">
        <v>39</v>
      </c>
      <c r="C55" s="25">
        <v>1000</v>
      </c>
      <c r="D55" s="25">
        <v>1500</v>
      </c>
      <c r="E55" s="25">
        <f>D55/C55*100</f>
        <v>150</v>
      </c>
      <c r="F55" s="25">
        <f t="shared" ref="F55" si="23">C55-K55</f>
        <v>1000</v>
      </c>
      <c r="G55" s="25">
        <f t="shared" si="21"/>
        <v>1500</v>
      </c>
      <c r="H55" s="25">
        <f>G55/F55*100</f>
        <v>150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197" t="s">
        <v>355</v>
      </c>
    </row>
    <row r="56" spans="1:16" s="3" customFormat="1" ht="12" customHeight="1" x14ac:dyDescent="0.2">
      <c r="A56" s="14"/>
      <c r="B56" s="238" t="s">
        <v>435</v>
      </c>
      <c r="C56" s="25">
        <v>2000</v>
      </c>
      <c r="D56" s="25">
        <v>1872.5</v>
      </c>
      <c r="E56" s="25">
        <f>D56/C56*100</f>
        <v>93.625</v>
      </c>
      <c r="F56" s="25">
        <v>2000</v>
      </c>
      <c r="G56" s="25">
        <f>D56</f>
        <v>1872.5</v>
      </c>
      <c r="H56" s="25">
        <f>G56/F56*100</f>
        <v>93.625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197"/>
    </row>
    <row r="57" spans="1:16" s="3" customFormat="1" ht="23.25" customHeight="1" x14ac:dyDescent="0.2">
      <c r="A57" s="14"/>
      <c r="B57" s="238" t="s">
        <v>40</v>
      </c>
      <c r="C57" s="25">
        <v>136050.51</v>
      </c>
      <c r="D57" s="25">
        <v>152371.43</v>
      </c>
      <c r="E57" s="25">
        <f t="shared" si="19"/>
        <v>111.99622110935121</v>
      </c>
      <c r="F57" s="25">
        <f>C57</f>
        <v>136050.51</v>
      </c>
      <c r="G57" s="25">
        <f t="shared" si="21"/>
        <v>152371.43</v>
      </c>
      <c r="H57" s="25">
        <f t="shared" si="22"/>
        <v>111.99622110935121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197" t="s">
        <v>356</v>
      </c>
    </row>
    <row r="58" spans="1:16" s="3" customFormat="1" ht="47.25" customHeight="1" x14ac:dyDescent="0.2">
      <c r="A58" s="14"/>
      <c r="B58" s="238" t="s">
        <v>41</v>
      </c>
      <c r="C58" s="25">
        <v>144234</v>
      </c>
      <c r="D58" s="25">
        <v>196611.22</v>
      </c>
      <c r="E58" s="25">
        <f>D58/C58*100</f>
        <v>136.31405909840953</v>
      </c>
      <c r="F58" s="25">
        <v>144234</v>
      </c>
      <c r="G58" s="25">
        <f t="shared" si="21"/>
        <v>196611.22</v>
      </c>
      <c r="H58" s="25">
        <f>G58/F58*100</f>
        <v>136.31405909840953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197" t="s">
        <v>357</v>
      </c>
    </row>
    <row r="59" spans="1:16" s="3" customFormat="1" ht="13.5" customHeight="1" x14ac:dyDescent="0.2">
      <c r="A59" s="14"/>
      <c r="B59" s="238" t="s">
        <v>316</v>
      </c>
      <c r="C59" s="25">
        <v>0</v>
      </c>
      <c r="D59" s="25">
        <v>38007.25</v>
      </c>
      <c r="E59" s="25">
        <v>0</v>
      </c>
      <c r="F59" s="25">
        <v>0</v>
      </c>
      <c r="G59" s="25">
        <f>D59</f>
        <v>38007.25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197"/>
    </row>
    <row r="60" spans="1:16" s="3" customFormat="1" ht="33.75" x14ac:dyDescent="0.2">
      <c r="A60" s="14"/>
      <c r="B60" s="238" t="s">
        <v>43</v>
      </c>
      <c r="C60" s="25">
        <f>8500+7500</f>
        <v>16000</v>
      </c>
      <c r="D60" s="25">
        <f>120.55+14700.1+14117.68</f>
        <v>28938.33</v>
      </c>
      <c r="E60" s="25">
        <f t="shared" si="19"/>
        <v>180.86456250000001</v>
      </c>
      <c r="F60" s="25">
        <f>C60</f>
        <v>16000</v>
      </c>
      <c r="G60" s="25">
        <f t="shared" si="21"/>
        <v>28938.33</v>
      </c>
      <c r="H60" s="25">
        <f t="shared" si="22"/>
        <v>180.86456250000001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197" t="s">
        <v>341</v>
      </c>
    </row>
    <row r="61" spans="1:16" s="3" customFormat="1" ht="33.75" hidden="1" x14ac:dyDescent="0.2">
      <c r="A61" s="14"/>
      <c r="B61" s="238" t="s">
        <v>358</v>
      </c>
      <c r="C61" s="25"/>
      <c r="D61" s="25"/>
      <c r="E61" s="25" t="e">
        <f t="shared" si="19"/>
        <v>#DIV/0!</v>
      </c>
      <c r="F61" s="25"/>
      <c r="G61" s="25">
        <f t="shared" si="21"/>
        <v>0</v>
      </c>
      <c r="H61" s="25" t="e">
        <f t="shared" si="22"/>
        <v>#DIV/0!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197" t="s">
        <v>359</v>
      </c>
    </row>
    <row r="62" spans="1:16" s="3" customFormat="1" ht="12" hidden="1" customHeight="1" x14ac:dyDescent="0.2">
      <c r="A62" s="14"/>
      <c r="B62" s="238" t="s">
        <v>316</v>
      </c>
      <c r="C62" s="25"/>
      <c r="D62" s="25"/>
      <c r="E62" s="25">
        <v>0</v>
      </c>
      <c r="F62" s="25"/>
      <c r="G62" s="25">
        <f t="shared" si="21"/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197" t="s">
        <v>360</v>
      </c>
    </row>
    <row r="63" spans="1:16" s="3" customFormat="1" ht="12" customHeight="1" x14ac:dyDescent="0.2">
      <c r="A63" s="14"/>
      <c r="B63" s="238" t="s">
        <v>46</v>
      </c>
      <c r="C63" s="25">
        <v>0</v>
      </c>
      <c r="D63" s="25">
        <v>25.24</v>
      </c>
      <c r="E63" s="25">
        <v>0</v>
      </c>
      <c r="F63" s="25">
        <v>0</v>
      </c>
      <c r="G63" s="25">
        <f t="shared" si="21"/>
        <v>25.24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197" t="s">
        <v>342</v>
      </c>
    </row>
    <row r="64" spans="1:16" s="17" customFormat="1" ht="93.75" customHeight="1" x14ac:dyDescent="0.2">
      <c r="A64" s="16" t="s">
        <v>44</v>
      </c>
      <c r="B64" s="239" t="s">
        <v>45</v>
      </c>
      <c r="C64" s="163">
        <f>SUM(C44:C63)</f>
        <v>20856344.300000001</v>
      </c>
      <c r="D64" s="163">
        <f>SUM(D44:D63)</f>
        <v>21868157.249999993</v>
      </c>
      <c r="E64" s="26">
        <f>D64/C64*100</f>
        <v>104.85134372278266</v>
      </c>
      <c r="F64" s="163">
        <f>SUM(F44:F63)</f>
        <v>20856344.300000001</v>
      </c>
      <c r="G64" s="163">
        <f>SUM(G44:G63)</f>
        <v>21868157.249999993</v>
      </c>
      <c r="H64" s="26">
        <f>G64/F64*100</f>
        <v>104.85134372278266</v>
      </c>
      <c r="I64" s="163">
        <f>SUM(I44:I63)</f>
        <v>0</v>
      </c>
      <c r="J64" s="163">
        <f>SUM(J44:J63)</f>
        <v>0</v>
      </c>
      <c r="K64" s="163">
        <f>SUM(K44:K63)</f>
        <v>0</v>
      </c>
      <c r="L64" s="163">
        <f>SUM(L44:L63)</f>
        <v>0</v>
      </c>
      <c r="M64" s="26">
        <v>0</v>
      </c>
      <c r="N64" s="163">
        <f>SUM(N44:N63)</f>
        <v>0</v>
      </c>
      <c r="O64" s="163">
        <f>SUM(O44:O63)</f>
        <v>0</v>
      </c>
      <c r="P64" s="199"/>
    </row>
    <row r="65" spans="1:16" s="3" customFormat="1" ht="36.75" customHeight="1" x14ac:dyDescent="0.2">
      <c r="A65" s="14"/>
      <c r="B65" s="238" t="s">
        <v>309</v>
      </c>
      <c r="C65" s="25">
        <v>0</v>
      </c>
      <c r="D65" s="25">
        <v>6458</v>
      </c>
      <c r="E65" s="25">
        <v>0</v>
      </c>
      <c r="F65" s="25">
        <f t="shared" ref="F65:F69" si="24">C65-K65</f>
        <v>0</v>
      </c>
      <c r="G65" s="25">
        <f t="shared" si="21"/>
        <v>6458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197" t="s">
        <v>361</v>
      </c>
    </row>
    <row r="66" spans="1:16" s="3" customFormat="1" ht="14.25" customHeight="1" x14ac:dyDescent="0.2">
      <c r="A66" s="14"/>
      <c r="B66" s="238" t="s">
        <v>46</v>
      </c>
      <c r="C66" s="25">
        <v>0</v>
      </c>
      <c r="D66" s="25">
        <v>95198.16</v>
      </c>
      <c r="E66" s="25">
        <v>0</v>
      </c>
      <c r="F66" s="25">
        <f t="shared" si="24"/>
        <v>0</v>
      </c>
      <c r="G66" s="25">
        <f t="shared" si="21"/>
        <v>95198.16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197" t="s">
        <v>342</v>
      </c>
    </row>
    <row r="67" spans="1:16" s="3" customFormat="1" ht="24" customHeight="1" x14ac:dyDescent="0.2">
      <c r="A67" s="14"/>
      <c r="B67" s="238" t="s">
        <v>308</v>
      </c>
      <c r="C67" s="25">
        <v>391002</v>
      </c>
      <c r="D67" s="25">
        <v>391002.12</v>
      </c>
      <c r="E67" s="25">
        <f>D67/C67*100</f>
        <v>100.0000306903801</v>
      </c>
      <c r="F67" s="25">
        <f>C67</f>
        <v>391002</v>
      </c>
      <c r="G67" s="25">
        <f t="shared" si="21"/>
        <v>391002.12</v>
      </c>
      <c r="H67" s="25">
        <f>G67/F67*100</f>
        <v>100.0000306903801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197" t="s">
        <v>344</v>
      </c>
    </row>
    <row r="68" spans="1:16" s="3" customFormat="1" ht="22.5" x14ac:dyDescent="0.2">
      <c r="A68" s="14"/>
      <c r="B68" s="238" t="s">
        <v>47</v>
      </c>
      <c r="C68" s="25">
        <f>7423309+1182699</f>
        <v>8606008</v>
      </c>
      <c r="D68" s="25">
        <f>7423309+1182699</f>
        <v>8606008</v>
      </c>
      <c r="E68" s="25">
        <f t="shared" ref="E68" si="25">D68/C68*100</f>
        <v>100</v>
      </c>
      <c r="F68" s="25">
        <f>C68</f>
        <v>8606008</v>
      </c>
      <c r="G68" s="25">
        <f t="shared" si="21"/>
        <v>8606008</v>
      </c>
      <c r="H68" s="25">
        <f t="shared" ref="H68" si="26">G68/F68*100</f>
        <v>100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197">
        <v>2920</v>
      </c>
    </row>
    <row r="69" spans="1:16" s="3" customFormat="1" ht="12" hidden="1" customHeight="1" x14ac:dyDescent="0.2">
      <c r="A69" s="14"/>
      <c r="B69" s="238" t="s">
        <v>289</v>
      </c>
      <c r="C69" s="25">
        <v>0</v>
      </c>
      <c r="D69" s="25">
        <v>0</v>
      </c>
      <c r="E69" s="25">
        <v>0</v>
      </c>
      <c r="F69" s="25">
        <f t="shared" si="24"/>
        <v>0</v>
      </c>
      <c r="G69" s="25">
        <f t="shared" si="21"/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197">
        <v>2980</v>
      </c>
    </row>
    <row r="70" spans="1:16" s="3" customFormat="1" ht="47.25" customHeight="1" x14ac:dyDescent="0.2">
      <c r="A70" s="14"/>
      <c r="B70" s="238" t="s">
        <v>438</v>
      </c>
      <c r="C70" s="25">
        <v>215387</v>
      </c>
      <c r="D70" s="25">
        <v>215387</v>
      </c>
      <c r="E70" s="25">
        <f>D70/C70*100</f>
        <v>100</v>
      </c>
      <c r="F70" s="25">
        <f>C70</f>
        <v>215387</v>
      </c>
      <c r="G70" s="25">
        <f>D70</f>
        <v>215387</v>
      </c>
      <c r="H70" s="25">
        <f>G70/F70*100</f>
        <v>100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197"/>
    </row>
    <row r="71" spans="1:16" s="3" customFormat="1" ht="12" customHeight="1" x14ac:dyDescent="0.2">
      <c r="A71" s="14"/>
      <c r="B71" s="238" t="s">
        <v>289</v>
      </c>
      <c r="C71" s="25">
        <v>0</v>
      </c>
      <c r="D71" s="25">
        <v>362</v>
      </c>
      <c r="E71" s="25">
        <v>0</v>
      </c>
      <c r="F71" s="25">
        <v>0</v>
      </c>
      <c r="G71" s="25">
        <v>362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197"/>
    </row>
    <row r="72" spans="1:16" s="17" customFormat="1" ht="13.5" customHeight="1" x14ac:dyDescent="0.2">
      <c r="A72" s="16" t="s">
        <v>48</v>
      </c>
      <c r="B72" s="239" t="s">
        <v>49</v>
      </c>
      <c r="C72" s="163">
        <f>SUM(C65:C71)</f>
        <v>9212397</v>
      </c>
      <c r="D72" s="163">
        <f>SUM(D65:D71)</f>
        <v>9314415.2799999993</v>
      </c>
      <c r="E72" s="26">
        <f>D72/C72*100</f>
        <v>101.10740212346472</v>
      </c>
      <c r="F72" s="163">
        <f>SUM(F65:F70)</f>
        <v>9212397</v>
      </c>
      <c r="G72" s="163">
        <f>SUM(G65:G71)</f>
        <v>9314415.2799999993</v>
      </c>
      <c r="H72" s="26">
        <f>G72/F72*100</f>
        <v>101.10740212346472</v>
      </c>
      <c r="I72" s="163">
        <f>SUM(I65:I71)</f>
        <v>0</v>
      </c>
      <c r="J72" s="163">
        <f>SUM(J65:J71)</f>
        <v>0</v>
      </c>
      <c r="K72" s="163">
        <f>SUM(K65:K71)</f>
        <v>0</v>
      </c>
      <c r="L72" s="163">
        <f>SUM(L65:L71)</f>
        <v>0</v>
      </c>
      <c r="M72" s="26">
        <v>0</v>
      </c>
      <c r="N72" s="163">
        <f>SUM(N65:N71)</f>
        <v>0</v>
      </c>
      <c r="O72" s="163">
        <f>SUM(O65:O71)</f>
        <v>0</v>
      </c>
      <c r="P72" s="199"/>
    </row>
    <row r="73" spans="1:16" s="3" customFormat="1" ht="24" customHeight="1" x14ac:dyDescent="0.2">
      <c r="A73" s="14"/>
      <c r="B73" s="238" t="s">
        <v>50</v>
      </c>
      <c r="C73" s="25">
        <f>42400+9000</f>
        <v>51400</v>
      </c>
      <c r="D73" s="25">
        <f>35170.5+8751</f>
        <v>43921.5</v>
      </c>
      <c r="E73" s="25">
        <f t="shared" ref="E73:E74" si="27">D73/C73*100</f>
        <v>85.450389105058363</v>
      </c>
      <c r="F73" s="25">
        <f>C73</f>
        <v>51400</v>
      </c>
      <c r="G73" s="25">
        <f t="shared" ref="G73:G74" si="28">D73-L73</f>
        <v>43921.5</v>
      </c>
      <c r="H73" s="25">
        <f t="shared" ref="H73:H74" si="29">G73/F73*100</f>
        <v>85.450389105058363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197" t="s">
        <v>362</v>
      </c>
    </row>
    <row r="74" spans="1:16" s="3" customFormat="1" ht="46.5" customHeight="1" x14ac:dyDescent="0.2">
      <c r="A74" s="14"/>
      <c r="B74" s="238" t="s">
        <v>51</v>
      </c>
      <c r="C74" s="25">
        <f>272000+42000</f>
        <v>314000</v>
      </c>
      <c r="D74" s="25">
        <f>266260.9+42017.5</f>
        <v>308278.40000000002</v>
      </c>
      <c r="E74" s="25">
        <f t="shared" si="27"/>
        <v>98.177834394904465</v>
      </c>
      <c r="F74" s="25">
        <f>C74</f>
        <v>314000</v>
      </c>
      <c r="G74" s="25">
        <f t="shared" si="28"/>
        <v>308278.40000000002</v>
      </c>
      <c r="H74" s="25">
        <f t="shared" si="29"/>
        <v>98.177834394904465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197" t="s">
        <v>363</v>
      </c>
    </row>
    <row r="75" spans="1:16" s="3" customFormat="1" ht="81.75" customHeight="1" x14ac:dyDescent="0.2">
      <c r="A75" s="14"/>
      <c r="B75" s="238" t="s">
        <v>439</v>
      </c>
      <c r="C75" s="25">
        <v>0</v>
      </c>
      <c r="D75" s="25">
        <v>975.6</v>
      </c>
      <c r="E75" s="25">
        <v>0</v>
      </c>
      <c r="F75" s="25">
        <v>0</v>
      </c>
      <c r="G75" s="25">
        <v>975.6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197"/>
    </row>
    <row r="76" spans="1:16" s="3" customFormat="1" ht="33.75" customHeight="1" x14ac:dyDescent="0.2">
      <c r="A76" s="14"/>
      <c r="B76" s="238" t="s">
        <v>437</v>
      </c>
      <c r="C76" s="25">
        <v>25500</v>
      </c>
      <c r="D76" s="25">
        <v>25500</v>
      </c>
      <c r="E76" s="25">
        <f>D76/C76*100</f>
        <v>100</v>
      </c>
      <c r="F76" s="25">
        <f>C76</f>
        <v>25500</v>
      </c>
      <c r="G76" s="25">
        <f>D76</f>
        <v>25500</v>
      </c>
      <c r="H76" s="25">
        <f>G76/F76*100</f>
        <v>100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197"/>
    </row>
    <row r="77" spans="1:16" s="3" customFormat="1" ht="11.25" x14ac:dyDescent="0.2">
      <c r="A77" s="14"/>
      <c r="B77" s="238" t="s">
        <v>24</v>
      </c>
      <c r="C77" s="25">
        <f>125000+332500+170000</f>
        <v>627500</v>
      </c>
      <c r="D77" s="25">
        <f>195188.64+590510.11+204056.2</f>
        <v>989754.95</v>
      </c>
      <c r="E77" s="25">
        <f>D77/C77*100</f>
        <v>157.72987250996016</v>
      </c>
      <c r="F77" s="25">
        <f>C77</f>
        <v>627500</v>
      </c>
      <c r="G77" s="25">
        <f>D77-L77</f>
        <v>989754.95</v>
      </c>
      <c r="H77" s="25">
        <f>G77/F77*100</f>
        <v>157.72987250996016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197" t="s">
        <v>364</v>
      </c>
    </row>
    <row r="78" spans="1:16" s="3" customFormat="1" ht="33.75" x14ac:dyDescent="0.2">
      <c r="A78" s="14"/>
      <c r="B78" s="238" t="s">
        <v>326</v>
      </c>
      <c r="C78" s="25">
        <v>1244</v>
      </c>
      <c r="D78" s="25">
        <v>1243.8900000000001</v>
      </c>
      <c r="E78" s="25">
        <f>D78/C78*100</f>
        <v>99.99115755627011</v>
      </c>
      <c r="F78" s="25">
        <v>1244</v>
      </c>
      <c r="G78" s="25">
        <v>1243.8900000000001</v>
      </c>
      <c r="H78" s="25">
        <f>G78/F78*100</f>
        <v>99.99115755627011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197" t="s">
        <v>365</v>
      </c>
    </row>
    <row r="79" spans="1:16" s="3" customFormat="1" ht="81.75" customHeight="1" x14ac:dyDescent="0.2">
      <c r="A79" s="168"/>
      <c r="B79" s="241" t="s">
        <v>315</v>
      </c>
      <c r="C79" s="25">
        <v>52828.68</v>
      </c>
      <c r="D79" s="25">
        <v>50552.13</v>
      </c>
      <c r="E79" s="25">
        <f>D79/C79*100</f>
        <v>95.690693009933241</v>
      </c>
      <c r="F79" s="25">
        <f>C79</f>
        <v>52828.68</v>
      </c>
      <c r="G79" s="25">
        <f>D79-L79</f>
        <v>50552.13</v>
      </c>
      <c r="H79" s="25">
        <f>G79/F79*100</f>
        <v>95.690693009933241</v>
      </c>
      <c r="I79" s="25">
        <f>G79</f>
        <v>50552.13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197" t="s">
        <v>366</v>
      </c>
    </row>
    <row r="80" spans="1:16" s="3" customFormat="1" ht="60.75" customHeight="1" x14ac:dyDescent="0.2">
      <c r="A80" s="168"/>
      <c r="B80" s="241" t="s">
        <v>317</v>
      </c>
      <c r="C80" s="25">
        <f>21000+198792+111444+7530</f>
        <v>338766</v>
      </c>
      <c r="D80" s="25">
        <f>21000+198792+111444+7530</f>
        <v>338766</v>
      </c>
      <c r="E80" s="25">
        <f>D80/C80*100</f>
        <v>100</v>
      </c>
      <c r="F80" s="25">
        <f>C80</f>
        <v>338766</v>
      </c>
      <c r="G80" s="25">
        <f>D80-L80</f>
        <v>338766</v>
      </c>
      <c r="H80" s="25">
        <f>G80/F80*100</f>
        <v>100</v>
      </c>
      <c r="I80" s="25">
        <f>D80</f>
        <v>338766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197" t="s">
        <v>367</v>
      </c>
    </row>
    <row r="81" spans="1:16" s="3" customFormat="1" ht="35.25" customHeight="1" x14ac:dyDescent="0.2">
      <c r="A81" s="168"/>
      <c r="B81" s="241" t="s">
        <v>310</v>
      </c>
      <c r="C81" s="25">
        <v>0</v>
      </c>
      <c r="D81" s="25">
        <v>3801.16</v>
      </c>
      <c r="E81" s="25">
        <v>0</v>
      </c>
      <c r="F81" s="25">
        <v>0</v>
      </c>
      <c r="G81" s="25">
        <v>3801.16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197"/>
    </row>
    <row r="82" spans="1:16" s="350" customFormat="1" ht="115.5" customHeight="1" x14ac:dyDescent="0.2">
      <c r="A82" s="168"/>
      <c r="B82" s="241" t="s">
        <v>390</v>
      </c>
      <c r="C82" s="25">
        <v>224059.2</v>
      </c>
      <c r="D82" s="25">
        <v>224059.2</v>
      </c>
      <c r="E82" s="25">
        <f>D82/C82*100</f>
        <v>100</v>
      </c>
      <c r="F82" s="25">
        <v>224059.2</v>
      </c>
      <c r="G82" s="25">
        <v>224059.2</v>
      </c>
      <c r="H82" s="25">
        <f>G82/F82*100</f>
        <v>100</v>
      </c>
      <c r="I82" s="25">
        <v>0</v>
      </c>
      <c r="J82" s="25">
        <v>224059.2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349"/>
    </row>
    <row r="83" spans="1:16" s="3" customFormat="1" ht="60.75" customHeight="1" x14ac:dyDescent="0.2">
      <c r="A83" s="168"/>
      <c r="B83" s="241" t="s">
        <v>391</v>
      </c>
      <c r="C83" s="25">
        <v>110000</v>
      </c>
      <c r="D83" s="25">
        <v>110000</v>
      </c>
      <c r="E83" s="25">
        <f>D83/C83*100</f>
        <v>100</v>
      </c>
      <c r="F83" s="25">
        <v>110000</v>
      </c>
      <c r="G83" s="25">
        <v>110000</v>
      </c>
      <c r="H83" s="25">
        <f>G83/F83*100</f>
        <v>100</v>
      </c>
      <c r="I83" s="25">
        <v>110000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197"/>
    </row>
    <row r="84" spans="1:16" s="17" customFormat="1" ht="12" customHeight="1" x14ac:dyDescent="0.2">
      <c r="A84" s="16" t="s">
        <v>53</v>
      </c>
      <c r="B84" s="240" t="s">
        <v>54</v>
      </c>
      <c r="C84" s="163">
        <f>SUM(C73:C83)</f>
        <v>1745297.88</v>
      </c>
      <c r="D84" s="163">
        <f>SUM(D73:D83)</f>
        <v>2096852.8299999996</v>
      </c>
      <c r="E84" s="26">
        <f>D84/C84*100</f>
        <v>120.14297696849319</v>
      </c>
      <c r="F84" s="163">
        <f>SUM(F73:F83)</f>
        <v>1745297.88</v>
      </c>
      <c r="G84" s="163">
        <f>SUM(G73:G83)</f>
        <v>2096852.8299999996</v>
      </c>
      <c r="H84" s="26">
        <f>G84/F84*100</f>
        <v>120.14297696849319</v>
      </c>
      <c r="I84" s="163">
        <f>SUM(I73:I83)</f>
        <v>499318.13</v>
      </c>
      <c r="J84" s="201">
        <f>SUM(J73:J83)</f>
        <v>224059.2</v>
      </c>
      <c r="K84" s="163">
        <f>SUM(K73:K83)</f>
        <v>0</v>
      </c>
      <c r="L84" s="163">
        <f>SUM(L73:L83)</f>
        <v>0</v>
      </c>
      <c r="M84" s="26">
        <v>0</v>
      </c>
      <c r="N84" s="163">
        <f>SUM(N73:N83)</f>
        <v>0</v>
      </c>
      <c r="O84" s="163">
        <f>SUM(O73:O83)</f>
        <v>0</v>
      </c>
      <c r="P84" s="199"/>
    </row>
    <row r="85" spans="1:16" s="3" customFormat="1" ht="12" customHeight="1" x14ac:dyDescent="0.2">
      <c r="A85" s="14"/>
      <c r="B85" s="241" t="s">
        <v>24</v>
      </c>
      <c r="C85" s="25">
        <v>0</v>
      </c>
      <c r="D85" s="25">
        <v>1866.82</v>
      </c>
      <c r="E85" s="25">
        <v>0</v>
      </c>
      <c r="F85" s="25">
        <v>0</v>
      </c>
      <c r="G85" s="25">
        <v>1866.82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197" t="s">
        <v>364</v>
      </c>
    </row>
    <row r="86" spans="1:16" s="3" customFormat="1" ht="12" customHeight="1" x14ac:dyDescent="0.2">
      <c r="A86" s="14"/>
      <c r="B86" s="241" t="s">
        <v>14</v>
      </c>
      <c r="C86" s="25">
        <v>0</v>
      </c>
      <c r="D86" s="25">
        <v>168</v>
      </c>
      <c r="E86" s="25">
        <v>0</v>
      </c>
      <c r="F86" s="25">
        <v>0</v>
      </c>
      <c r="G86" s="25">
        <v>168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197"/>
    </row>
    <row r="87" spans="1:16" s="3" customFormat="1" ht="25.5" customHeight="1" x14ac:dyDescent="0.2">
      <c r="A87" s="14"/>
      <c r="B87" s="241" t="s">
        <v>440</v>
      </c>
      <c r="C87" s="25">
        <v>0</v>
      </c>
      <c r="D87" s="25">
        <v>1935</v>
      </c>
      <c r="E87" s="25">
        <v>0</v>
      </c>
      <c r="F87" s="25">
        <v>0</v>
      </c>
      <c r="G87" s="25">
        <v>1935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197"/>
    </row>
    <row r="88" spans="1:16" s="3" customFormat="1" ht="80.25" customHeight="1" x14ac:dyDescent="0.2">
      <c r="A88" s="14"/>
      <c r="B88" s="241" t="s">
        <v>392</v>
      </c>
      <c r="C88" s="25">
        <v>587491</v>
      </c>
      <c r="D88" s="25">
        <v>577221.51</v>
      </c>
      <c r="E88" s="25">
        <f>D88/C88*100</f>
        <v>98.251974923871174</v>
      </c>
      <c r="F88" s="25">
        <f>C88</f>
        <v>587491</v>
      </c>
      <c r="G88" s="25">
        <f>D88</f>
        <v>577221.51</v>
      </c>
      <c r="H88" s="25">
        <f>G88/F88*100</f>
        <v>98.251974923871174</v>
      </c>
      <c r="I88" s="25">
        <f>G88</f>
        <v>577221.51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197"/>
    </row>
    <row r="89" spans="1:16" s="3" customFormat="1" ht="57" customHeight="1" x14ac:dyDescent="0.2">
      <c r="A89" s="14"/>
      <c r="B89" s="241" t="s">
        <v>52</v>
      </c>
      <c r="C89" s="25">
        <f>15600+500+191660+61752+14850</f>
        <v>284362</v>
      </c>
      <c r="D89" s="25">
        <f>15600+500+191659.43+61600+14850</f>
        <v>284209.43</v>
      </c>
      <c r="E89" s="25">
        <f>D89/C89*100</f>
        <v>99.946346558260245</v>
      </c>
      <c r="F89" s="25">
        <f>C89-K89</f>
        <v>284362</v>
      </c>
      <c r="G89" s="25">
        <f>D89-L89</f>
        <v>284209.43</v>
      </c>
      <c r="H89" s="25">
        <f>G89/F89*100</f>
        <v>99.946346558260245</v>
      </c>
      <c r="I89" s="25">
        <f>D89</f>
        <v>284209.43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197">
        <v>2030</v>
      </c>
    </row>
    <row r="90" spans="1:16" s="3" customFormat="1" ht="33.75" x14ac:dyDescent="0.2">
      <c r="A90" s="14"/>
      <c r="B90" s="241" t="s">
        <v>310</v>
      </c>
      <c r="C90" s="25">
        <v>3000</v>
      </c>
      <c r="D90" s="25">
        <v>0</v>
      </c>
      <c r="E90" s="25">
        <v>0</v>
      </c>
      <c r="F90" s="25">
        <v>3000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197">
        <v>2950</v>
      </c>
    </row>
    <row r="91" spans="1:16" s="3" customFormat="1" ht="48" customHeight="1" x14ac:dyDescent="0.2">
      <c r="A91" s="14"/>
      <c r="B91" s="241" t="s">
        <v>438</v>
      </c>
      <c r="C91" s="25">
        <v>258264</v>
      </c>
      <c r="D91" s="25">
        <v>256427.07</v>
      </c>
      <c r="E91" s="25">
        <f>D91/C91*100</f>
        <v>99.288739429421057</v>
      </c>
      <c r="F91" s="25">
        <f>C91</f>
        <v>258264</v>
      </c>
      <c r="G91" s="25">
        <f>D91</f>
        <v>256427.07</v>
      </c>
      <c r="H91" s="25">
        <f>G91/F91*100</f>
        <v>99.288739429421057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197"/>
    </row>
    <row r="92" spans="1:16" s="3" customFormat="1" ht="59.25" customHeight="1" x14ac:dyDescent="0.2">
      <c r="A92" s="14"/>
      <c r="B92" s="241" t="s">
        <v>441</v>
      </c>
      <c r="C92" s="25">
        <v>4359480</v>
      </c>
      <c r="D92" s="25">
        <v>3966396.37</v>
      </c>
      <c r="E92" s="25">
        <f>D92/C92*100</f>
        <v>90.983245020048258</v>
      </c>
      <c r="F92" s="25">
        <f>C92</f>
        <v>4359480</v>
      </c>
      <c r="G92" s="25">
        <f>D92</f>
        <v>3966396.37</v>
      </c>
      <c r="H92" s="25">
        <f>G92/F92*100</f>
        <v>90.983245020048258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197"/>
    </row>
    <row r="93" spans="1:16" s="17" customFormat="1" ht="12" customHeight="1" x14ac:dyDescent="0.2">
      <c r="A93" s="16" t="s">
        <v>57</v>
      </c>
      <c r="B93" s="240" t="s">
        <v>58</v>
      </c>
      <c r="C93" s="163">
        <f>SUM(C85:C92)</f>
        <v>5492597</v>
      </c>
      <c r="D93" s="163">
        <f>SUM(D85:D92)</f>
        <v>5088224.2</v>
      </c>
      <c r="E93" s="26">
        <f t="shared" ref="E93:E99" si="30">D93/C93*100</f>
        <v>92.637857829365601</v>
      </c>
      <c r="F93" s="163">
        <f>SUM(F85:F92)</f>
        <v>5492597</v>
      </c>
      <c r="G93" s="163">
        <f>SUM(G85:G92)</f>
        <v>5088224.2</v>
      </c>
      <c r="H93" s="26">
        <f t="shared" ref="H93:H98" si="31">G93/F93*100</f>
        <v>92.637857829365601</v>
      </c>
      <c r="I93" s="163">
        <f>SUM(I85:I92)</f>
        <v>861430.94</v>
      </c>
      <c r="J93" s="163">
        <f>SUM(J85:J92)</f>
        <v>0</v>
      </c>
      <c r="K93" s="163">
        <f>SUM(K85:K92)</f>
        <v>0</v>
      </c>
      <c r="L93" s="163">
        <f>SUM(L85:L92)</f>
        <v>0</v>
      </c>
      <c r="M93" s="26">
        <v>0</v>
      </c>
      <c r="N93" s="163">
        <f>SUM(N85:N92)</f>
        <v>0</v>
      </c>
      <c r="O93" s="163">
        <f>SUM(O85:O92)</f>
        <v>0</v>
      </c>
      <c r="P93" s="199"/>
    </row>
    <row r="94" spans="1:16" s="17" customFormat="1" ht="34.5" customHeight="1" x14ac:dyDescent="0.2">
      <c r="A94" s="16"/>
      <c r="B94" s="241" t="s">
        <v>442</v>
      </c>
      <c r="C94" s="167">
        <v>1500</v>
      </c>
      <c r="D94" s="167">
        <v>1500</v>
      </c>
      <c r="E94" s="25">
        <f t="shared" si="30"/>
        <v>100</v>
      </c>
      <c r="F94" s="167">
        <v>1500</v>
      </c>
      <c r="G94" s="167">
        <v>1500</v>
      </c>
      <c r="H94" s="25">
        <f t="shared" si="31"/>
        <v>100</v>
      </c>
      <c r="I94" s="167">
        <v>0</v>
      </c>
      <c r="J94" s="167">
        <v>0</v>
      </c>
      <c r="K94" s="167">
        <v>0</v>
      </c>
      <c r="L94" s="167">
        <v>0</v>
      </c>
      <c r="M94" s="25">
        <v>0</v>
      </c>
      <c r="N94" s="167">
        <v>0</v>
      </c>
      <c r="O94" s="167">
        <v>0</v>
      </c>
      <c r="P94" s="199"/>
    </row>
    <row r="95" spans="1:16" s="17" customFormat="1" ht="36" customHeight="1" x14ac:dyDescent="0.2">
      <c r="A95" s="16" t="s">
        <v>393</v>
      </c>
      <c r="B95" s="239" t="s">
        <v>394</v>
      </c>
      <c r="C95" s="163">
        <f>C94</f>
        <v>1500</v>
      </c>
      <c r="D95" s="163">
        <f>D94</f>
        <v>1500</v>
      </c>
      <c r="E95" s="26">
        <f t="shared" si="30"/>
        <v>100</v>
      </c>
      <c r="F95" s="163">
        <f>F94</f>
        <v>1500</v>
      </c>
      <c r="G95" s="163">
        <f>G94</f>
        <v>1500</v>
      </c>
      <c r="H95" s="26">
        <f t="shared" si="31"/>
        <v>100</v>
      </c>
      <c r="I95" s="163">
        <v>0</v>
      </c>
      <c r="J95" s="163">
        <v>0</v>
      </c>
      <c r="K95" s="163">
        <v>0</v>
      </c>
      <c r="L95" s="163">
        <v>0</v>
      </c>
      <c r="M95" s="26">
        <v>0</v>
      </c>
      <c r="N95" s="163">
        <v>0</v>
      </c>
      <c r="O95" s="163">
        <v>0</v>
      </c>
      <c r="P95" s="199"/>
    </row>
    <row r="96" spans="1:16" s="3" customFormat="1" ht="58.5" customHeight="1" x14ac:dyDescent="0.2">
      <c r="A96" s="14"/>
      <c r="B96" s="238" t="s">
        <v>52</v>
      </c>
      <c r="C96" s="25">
        <v>34135</v>
      </c>
      <c r="D96" s="25">
        <v>27179.279999999999</v>
      </c>
      <c r="E96" s="25">
        <f t="shared" si="30"/>
        <v>79.622909037644646</v>
      </c>
      <c r="F96" s="25">
        <f>C96-K96</f>
        <v>34135</v>
      </c>
      <c r="G96" s="25">
        <f>D96-L96</f>
        <v>27179.279999999999</v>
      </c>
      <c r="H96" s="25">
        <f t="shared" si="31"/>
        <v>79.622909037644646</v>
      </c>
      <c r="I96" s="25">
        <f>G96</f>
        <v>27179.279999999999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197">
        <v>2030</v>
      </c>
    </row>
    <row r="97" spans="1:16" s="17" customFormat="1" ht="23.25" customHeight="1" x14ac:dyDescent="0.2">
      <c r="A97" s="16" t="s">
        <v>59</v>
      </c>
      <c r="B97" s="239" t="s">
        <v>60</v>
      </c>
      <c r="C97" s="163">
        <f>C96</f>
        <v>34135</v>
      </c>
      <c r="D97" s="163">
        <f>D96</f>
        <v>27179.279999999999</v>
      </c>
      <c r="E97" s="26">
        <f t="shared" si="30"/>
        <v>79.622909037644646</v>
      </c>
      <c r="F97" s="163">
        <f>F96</f>
        <v>34135</v>
      </c>
      <c r="G97" s="163">
        <f>G96</f>
        <v>27179.279999999999</v>
      </c>
      <c r="H97" s="26">
        <f t="shared" si="31"/>
        <v>79.622909037644646</v>
      </c>
      <c r="I97" s="163">
        <f>I96</f>
        <v>27179.279999999999</v>
      </c>
      <c r="J97" s="163">
        <f>J96</f>
        <v>0</v>
      </c>
      <c r="K97" s="163">
        <f>K96</f>
        <v>0</v>
      </c>
      <c r="L97" s="163">
        <f>L96</f>
        <v>0</v>
      </c>
      <c r="M97" s="26">
        <v>0</v>
      </c>
      <c r="N97" s="163">
        <f>N96</f>
        <v>0</v>
      </c>
      <c r="O97" s="163">
        <f>O96</f>
        <v>0</v>
      </c>
      <c r="P97" s="199"/>
    </row>
    <row r="98" spans="1:16" s="3" customFormat="1" ht="15" customHeight="1" x14ac:dyDescent="0.2">
      <c r="A98" s="14"/>
      <c r="B98" s="238" t="s">
        <v>46</v>
      </c>
      <c r="C98" s="167">
        <f>1100+100</f>
        <v>1200</v>
      </c>
      <c r="D98" s="167">
        <f>656.83+25.51</f>
        <v>682.34</v>
      </c>
      <c r="E98" s="25">
        <f t="shared" si="30"/>
        <v>56.861666666666665</v>
      </c>
      <c r="F98" s="167">
        <f>C98</f>
        <v>1200</v>
      </c>
      <c r="G98" s="167">
        <f>D98</f>
        <v>682.34</v>
      </c>
      <c r="H98" s="25">
        <f t="shared" si="31"/>
        <v>56.861666666666665</v>
      </c>
      <c r="I98" s="167">
        <v>0</v>
      </c>
      <c r="J98" s="167">
        <v>0</v>
      </c>
      <c r="K98" s="167">
        <v>0</v>
      </c>
      <c r="L98" s="167">
        <v>0</v>
      </c>
      <c r="M98" s="25">
        <v>0</v>
      </c>
      <c r="N98" s="167">
        <v>0</v>
      </c>
      <c r="O98" s="167">
        <v>0</v>
      </c>
      <c r="P98" s="197"/>
    </row>
    <row r="99" spans="1:16" s="3" customFormat="1" ht="79.5" customHeight="1" x14ac:dyDescent="0.2">
      <c r="A99" s="14"/>
      <c r="B99" s="241" t="s">
        <v>315</v>
      </c>
      <c r="C99" s="25">
        <f>1618475+601+15958</f>
        <v>1635034</v>
      </c>
      <c r="D99" s="25">
        <f>1618475+601+15958</f>
        <v>1635034</v>
      </c>
      <c r="E99" s="25">
        <f t="shared" si="30"/>
        <v>100</v>
      </c>
      <c r="F99" s="25">
        <f>C99</f>
        <v>1635034</v>
      </c>
      <c r="G99" s="25">
        <f t="shared" ref="G99:G101" si="32">D99-L99</f>
        <v>1635034</v>
      </c>
      <c r="H99" s="25">
        <f t="shared" ref="H99:H101" si="33">G99/F99*100</f>
        <v>100</v>
      </c>
      <c r="I99" s="25">
        <f>D99</f>
        <v>1635034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197">
        <v>2010</v>
      </c>
    </row>
    <row r="100" spans="1:16" s="3" customFormat="1" ht="116.25" customHeight="1" x14ac:dyDescent="0.2">
      <c r="A100" s="14"/>
      <c r="B100" s="241" t="s">
        <v>55</v>
      </c>
      <c r="C100" s="25">
        <v>2726956</v>
      </c>
      <c r="D100" s="25">
        <v>2726954.47</v>
      </c>
      <c r="E100" s="25">
        <f t="shared" ref="E100:E101" si="34">D100/C100*100</f>
        <v>99.999943893484172</v>
      </c>
      <c r="F100" s="25">
        <f>C100</f>
        <v>2726956</v>
      </c>
      <c r="G100" s="25">
        <f t="shared" si="32"/>
        <v>2726954.47</v>
      </c>
      <c r="H100" s="25">
        <f t="shared" si="33"/>
        <v>99.999943893484172</v>
      </c>
      <c r="I100" s="25">
        <f>D100</f>
        <v>2726954.47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197">
        <v>2060</v>
      </c>
    </row>
    <row r="101" spans="1:16" s="3" customFormat="1" ht="67.5" x14ac:dyDescent="0.2">
      <c r="A101" s="14"/>
      <c r="B101" s="241" t="s">
        <v>56</v>
      </c>
      <c r="C101" s="25">
        <f>7000</f>
        <v>7000</v>
      </c>
      <c r="D101" s="25">
        <f>8316.99+4.7</f>
        <v>8321.69</v>
      </c>
      <c r="E101" s="25">
        <f t="shared" si="34"/>
        <v>118.88128571428571</v>
      </c>
      <c r="F101" s="25">
        <v>7000</v>
      </c>
      <c r="G101" s="25">
        <f t="shared" si="32"/>
        <v>8321.69</v>
      </c>
      <c r="H101" s="25">
        <f t="shared" si="33"/>
        <v>118.88128571428571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197">
        <v>2360</v>
      </c>
    </row>
    <row r="102" spans="1:16" s="3" customFormat="1" ht="33.75" x14ac:dyDescent="0.2">
      <c r="A102" s="14"/>
      <c r="B102" s="241" t="s">
        <v>310</v>
      </c>
      <c r="C102" s="25">
        <f>4100+4214</f>
        <v>8314</v>
      </c>
      <c r="D102" s="25">
        <v>7030.46</v>
      </c>
      <c r="E102" s="25">
        <f>D102/C102*100</f>
        <v>84.561703151311036</v>
      </c>
      <c r="F102" s="25">
        <f>C102</f>
        <v>8314</v>
      </c>
      <c r="G102" s="25">
        <v>7030.46</v>
      </c>
      <c r="H102" s="25">
        <f>G102/F102*100</f>
        <v>84.561703151311036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197"/>
    </row>
    <row r="103" spans="1:16" s="17" customFormat="1" ht="15" customHeight="1" x14ac:dyDescent="0.2">
      <c r="A103" s="16" t="s">
        <v>291</v>
      </c>
      <c r="B103" s="239" t="s">
        <v>292</v>
      </c>
      <c r="C103" s="163">
        <f>SUM(C98:C102)</f>
        <v>4378504</v>
      </c>
      <c r="D103" s="163">
        <f>SUM(D98:D102)</f>
        <v>4378022.9600000009</v>
      </c>
      <c r="E103" s="26">
        <f>D103/C103*100</f>
        <v>99.989013599165403</v>
      </c>
      <c r="F103" s="163">
        <f>SUM(F98:F102)</f>
        <v>4378504</v>
      </c>
      <c r="G103" s="163">
        <f>SUM(G98:G102)</f>
        <v>4378022.9600000009</v>
      </c>
      <c r="H103" s="26">
        <f>G103/F103*100</f>
        <v>99.989013599165403</v>
      </c>
      <c r="I103" s="163">
        <f>SUM(I98:I102)</f>
        <v>4361988.4700000007</v>
      </c>
      <c r="J103" s="163">
        <f>SUM(J99:J101)</f>
        <v>0</v>
      </c>
      <c r="K103" s="163">
        <f>SUM(K99:K101)</f>
        <v>0</v>
      </c>
      <c r="L103" s="163">
        <f>SUM(L99:L101)</f>
        <v>0</v>
      </c>
      <c r="M103" s="26">
        <v>0</v>
      </c>
      <c r="N103" s="163">
        <f>SUM(N99:N101)</f>
        <v>0</v>
      </c>
      <c r="O103" s="163">
        <f>SUM(O99:O101)</f>
        <v>0</v>
      </c>
      <c r="P103" s="199"/>
    </row>
    <row r="104" spans="1:16" s="3" customFormat="1" ht="12.75" customHeight="1" x14ac:dyDescent="0.2">
      <c r="A104" s="14"/>
      <c r="B104" s="241" t="s">
        <v>325</v>
      </c>
      <c r="C104" s="25">
        <f>30728.24</f>
        <v>30728.240000000002</v>
      </c>
      <c r="D104" s="25">
        <f>30728.24</f>
        <v>30728.240000000002</v>
      </c>
      <c r="E104" s="25">
        <f t="shared" ref="E104:E106" si="35">D104/C104*100</f>
        <v>100</v>
      </c>
      <c r="F104" s="25">
        <f t="shared" ref="F104:G104" si="36">C104-K104</f>
        <v>30728.240000000002</v>
      </c>
      <c r="G104" s="25">
        <f t="shared" si="36"/>
        <v>30728.240000000002</v>
      </c>
      <c r="H104" s="25">
        <f t="shared" ref="H104:H106" si="37">G104/F104*100</f>
        <v>100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197" t="s">
        <v>360</v>
      </c>
    </row>
    <row r="105" spans="1:16" s="3" customFormat="1" ht="69.75" customHeight="1" x14ac:dyDescent="0.2">
      <c r="A105" s="14"/>
      <c r="B105" s="241" t="s">
        <v>395</v>
      </c>
      <c r="C105" s="25">
        <v>3955</v>
      </c>
      <c r="D105" s="25">
        <v>3955</v>
      </c>
      <c r="E105" s="25">
        <f t="shared" si="35"/>
        <v>100</v>
      </c>
      <c r="F105" s="25">
        <v>3955</v>
      </c>
      <c r="G105" s="25">
        <v>3955</v>
      </c>
      <c r="H105" s="25">
        <v>100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197" t="s">
        <v>368</v>
      </c>
    </row>
    <row r="106" spans="1:16" s="3" customFormat="1" ht="81" customHeight="1" x14ac:dyDescent="0.2">
      <c r="A106" s="14"/>
      <c r="B106" s="241" t="s">
        <v>345</v>
      </c>
      <c r="C106" s="25">
        <v>5933</v>
      </c>
      <c r="D106" s="25">
        <v>5933</v>
      </c>
      <c r="E106" s="25">
        <f t="shared" si="35"/>
        <v>100</v>
      </c>
      <c r="F106" s="25">
        <v>5933</v>
      </c>
      <c r="G106" s="25">
        <v>5933</v>
      </c>
      <c r="H106" s="25">
        <f t="shared" si="37"/>
        <v>100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197" t="s">
        <v>369</v>
      </c>
    </row>
    <row r="107" spans="1:16" s="3" customFormat="1" ht="70.5" customHeight="1" x14ac:dyDescent="0.2">
      <c r="A107" s="14"/>
      <c r="B107" s="241" t="s">
        <v>396</v>
      </c>
      <c r="C107" s="25">
        <f>20551+90000</f>
        <v>110551</v>
      </c>
      <c r="D107" s="25">
        <f>20551+90000</f>
        <v>110551</v>
      </c>
      <c r="E107" s="25">
        <f t="shared" ref="E107:E112" si="38">D107/C107*100</f>
        <v>100</v>
      </c>
      <c r="F107" s="25">
        <f>C107</f>
        <v>110551</v>
      </c>
      <c r="G107" s="25">
        <f>D107</f>
        <v>110551</v>
      </c>
      <c r="H107" s="25">
        <f>G107/F107*100</f>
        <v>100</v>
      </c>
      <c r="I107" s="25">
        <f>G107</f>
        <v>110551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197"/>
    </row>
    <row r="108" spans="1:16" s="17" customFormat="1" ht="24" customHeight="1" x14ac:dyDescent="0.2">
      <c r="A108" s="16" t="s">
        <v>61</v>
      </c>
      <c r="B108" s="239" t="s">
        <v>62</v>
      </c>
      <c r="C108" s="163">
        <f>SUM(C104:C107)</f>
        <v>151167.24</v>
      </c>
      <c r="D108" s="163">
        <f>SUM(D104:D107)</f>
        <v>151167.24</v>
      </c>
      <c r="E108" s="26">
        <f t="shared" si="38"/>
        <v>100</v>
      </c>
      <c r="F108" s="163">
        <f>SUM(F104:F107)</f>
        <v>151167.24</v>
      </c>
      <c r="G108" s="163">
        <f>SUM(G104:G107)</f>
        <v>151167.24</v>
      </c>
      <c r="H108" s="26">
        <f>G108/F108*100</f>
        <v>100</v>
      </c>
      <c r="I108" s="163">
        <f>SUM(I104:I107)</f>
        <v>110551</v>
      </c>
      <c r="J108" s="163">
        <f>SUM(J104:J107)</f>
        <v>0</v>
      </c>
      <c r="K108" s="163">
        <f>SUM(K104:K107)</f>
        <v>0</v>
      </c>
      <c r="L108" s="163">
        <f>SUM(L104:L107)</f>
        <v>0</v>
      </c>
      <c r="M108" s="26">
        <v>0</v>
      </c>
      <c r="N108" s="163">
        <f>SUM(N104:N107)</f>
        <v>0</v>
      </c>
      <c r="O108" s="163">
        <f>SUM(O104:O107)</f>
        <v>0</v>
      </c>
      <c r="P108" s="199"/>
    </row>
    <row r="109" spans="1:16" s="3" customFormat="1" ht="12" customHeight="1" x14ac:dyDescent="0.2">
      <c r="A109" s="14"/>
      <c r="B109" s="238" t="s">
        <v>24</v>
      </c>
      <c r="C109" s="167">
        <v>10000</v>
      </c>
      <c r="D109" s="167">
        <v>15110.44</v>
      </c>
      <c r="E109" s="25">
        <f t="shared" si="38"/>
        <v>151.1044</v>
      </c>
      <c r="F109" s="167">
        <v>10000</v>
      </c>
      <c r="G109" s="167">
        <f>D109</f>
        <v>15110.44</v>
      </c>
      <c r="H109" s="25">
        <f>G109/F109*100</f>
        <v>151.1044</v>
      </c>
      <c r="I109" s="167">
        <v>0</v>
      </c>
      <c r="J109" s="167">
        <v>0</v>
      </c>
      <c r="K109" s="167">
        <v>0</v>
      </c>
      <c r="L109" s="167">
        <v>0</v>
      </c>
      <c r="M109" s="25">
        <v>0</v>
      </c>
      <c r="N109" s="167">
        <v>0</v>
      </c>
      <c r="O109" s="167">
        <v>0</v>
      </c>
      <c r="P109" s="197" t="s">
        <v>364</v>
      </c>
    </row>
    <row r="110" spans="1:16" s="3" customFormat="1" ht="69.75" customHeight="1" x14ac:dyDescent="0.2">
      <c r="A110" s="14"/>
      <c r="B110" s="238" t="s">
        <v>397</v>
      </c>
      <c r="C110" s="167">
        <v>49353</v>
      </c>
      <c r="D110" s="167">
        <v>49353</v>
      </c>
      <c r="E110" s="25">
        <f t="shared" si="38"/>
        <v>100</v>
      </c>
      <c r="F110" s="167">
        <v>0</v>
      </c>
      <c r="G110" s="167">
        <v>0</v>
      </c>
      <c r="H110" s="25">
        <v>0</v>
      </c>
      <c r="I110" s="167">
        <v>0</v>
      </c>
      <c r="J110" s="167">
        <v>0</v>
      </c>
      <c r="K110" s="167">
        <v>49353</v>
      </c>
      <c r="L110" s="167">
        <v>49353</v>
      </c>
      <c r="M110" s="25">
        <f>L110/K110*100</f>
        <v>100</v>
      </c>
      <c r="N110" s="167">
        <f>L110</f>
        <v>49353</v>
      </c>
      <c r="O110" s="167">
        <v>0</v>
      </c>
      <c r="P110" s="197"/>
    </row>
    <row r="111" spans="1:16" s="17" customFormat="1" ht="12" customHeight="1" x14ac:dyDescent="0.2">
      <c r="A111" s="16" t="s">
        <v>178</v>
      </c>
      <c r="B111" s="239" t="s">
        <v>179</v>
      </c>
      <c r="C111" s="163">
        <f>SUM(C109:C110)</f>
        <v>59353</v>
      </c>
      <c r="D111" s="163">
        <f>SUM(D109:D110)</f>
        <v>64463.44</v>
      </c>
      <c r="E111" s="26">
        <f t="shared" si="38"/>
        <v>108.61024716526543</v>
      </c>
      <c r="F111" s="163">
        <f>SUM(F109:F110)</f>
        <v>10000</v>
      </c>
      <c r="G111" s="163">
        <f>SUM(G109:G110)</f>
        <v>15110.44</v>
      </c>
      <c r="H111" s="26">
        <f>G111/F111*100</f>
        <v>151.1044</v>
      </c>
      <c r="I111" s="163">
        <f>I109</f>
        <v>0</v>
      </c>
      <c r="J111" s="163">
        <f>J109</f>
        <v>0</v>
      </c>
      <c r="K111" s="163">
        <f>K109+K110</f>
        <v>49353</v>
      </c>
      <c r="L111" s="163">
        <v>49353</v>
      </c>
      <c r="M111" s="26">
        <f>L111/K111*100</f>
        <v>100</v>
      </c>
      <c r="N111" s="163">
        <f>N110</f>
        <v>49353</v>
      </c>
      <c r="O111" s="163">
        <f>O109</f>
        <v>0</v>
      </c>
      <c r="P111" s="199"/>
    </row>
    <row r="112" spans="1:16" s="18" customFormat="1" ht="12" customHeight="1" x14ac:dyDescent="0.2">
      <c r="A112" s="452" t="s">
        <v>63</v>
      </c>
      <c r="B112" s="453"/>
      <c r="C112" s="202">
        <f>C12+C15+C24+C38+C40+C43+C64+C72+C84+C93+C97+C103+C108+C111+C95+C27</f>
        <v>46656341.210000008</v>
      </c>
      <c r="D112" s="202">
        <f>D111+D108+D103+D97+D95+D93+D84+D72+D64+D43+D40+D38+D27+D24+D12</f>
        <v>46742445.679999985</v>
      </c>
      <c r="E112" s="202">
        <f t="shared" si="38"/>
        <v>100.18455041215601</v>
      </c>
      <c r="F112" s="202">
        <f>F111+F108+F103+F97+F95+F93+F84+F72+F64+F43+F40+F38+F27+F24+F12</f>
        <v>45517832.210000001</v>
      </c>
      <c r="G112" s="202">
        <f>G111+G108+G103+G97+G95+G93+G84+G72+G64+G43+G40+G38+G27+G24+G12</f>
        <v>46588240.369999982</v>
      </c>
      <c r="H112" s="202">
        <f>G112/F112*100</f>
        <v>102.35162376595962</v>
      </c>
      <c r="I112" s="202">
        <f>I111+I108+I103+I97+I95+I93+I84+I72+I64+I43+I40+I38+I27+I24+I12</f>
        <v>6528752.9700000016</v>
      </c>
      <c r="J112" s="202">
        <f>J12+J15+J24+J38+J40+J43+J64+J72+J84+J93+J97+J103+J108+J111+J27</f>
        <v>364059.2</v>
      </c>
      <c r="K112" s="202">
        <f>K111+K108+K103+K97+K95+K93+K84+K72+K64+K43+K43+K40+K38+K27+K24+K12</f>
        <v>1138509</v>
      </c>
      <c r="L112" s="202">
        <f>L111+L108+L103+L97+L95+L93+L84+L72+L64+L43+L40+L38+L27+L24+L12</f>
        <v>154205.31</v>
      </c>
      <c r="M112" s="202">
        <f>L112/K112*100</f>
        <v>13.54449635444252</v>
      </c>
      <c r="N112" s="202">
        <f>N12+N15+N24+N38+N40+N43+N64+N72+N84+N93+N97+N103+N108+N111</f>
        <v>49353</v>
      </c>
      <c r="O112" s="202">
        <f>O111+O108+O103+O97+O95+O93+O84+O72+O64+O43+O40+O38+O27+O24+O12</f>
        <v>100000</v>
      </c>
      <c r="P112" s="199"/>
    </row>
  </sheetData>
  <mergeCells count="11">
    <mergeCell ref="A112:B112"/>
    <mergeCell ref="A2:Q2"/>
    <mergeCell ref="A4:A7"/>
    <mergeCell ref="B4:B7"/>
    <mergeCell ref="C4:O4"/>
    <mergeCell ref="C5:E7"/>
    <mergeCell ref="F5:O5"/>
    <mergeCell ref="F6:H7"/>
    <mergeCell ref="I6:J6"/>
    <mergeCell ref="K6:M7"/>
    <mergeCell ref="N6:O6"/>
  </mergeCells>
  <pageMargins left="0.43307086614173229" right="3.937007874015748E-2" top="0.35433070866141736" bottom="0.35433070866141736" header="0.31496062992125984" footer="0.31496062992125984"/>
  <pageSetup paperSize="9" scale="9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Q9" sqref="Q9"/>
    </sheetView>
  </sheetViews>
  <sheetFormatPr defaultRowHeight="12.75" x14ac:dyDescent="0.2"/>
  <cols>
    <col min="1" max="1" width="6.28515625" style="362" customWidth="1"/>
    <col min="2" max="2" width="9.140625" style="362"/>
    <col min="3" max="3" width="40.28515625" style="362" customWidth="1"/>
    <col min="4" max="4" width="15.42578125" style="362" customWidth="1"/>
    <col min="5" max="5" width="13.42578125" style="362" customWidth="1"/>
    <col min="6" max="6" width="11.7109375" style="362" customWidth="1"/>
    <col min="7" max="7" width="11.42578125" style="362" customWidth="1"/>
    <col min="8" max="8" width="13.42578125" style="362" customWidth="1"/>
    <col min="9" max="9" width="10.28515625" style="362" customWidth="1"/>
    <col min="10" max="10" width="15" style="362" customWidth="1"/>
    <col min="11" max="11" width="16.85546875" style="362" customWidth="1"/>
    <col min="12" max="259" width="9.140625" style="362"/>
    <col min="260" max="260" width="6.28515625" style="362" customWidth="1"/>
    <col min="261" max="261" width="9.140625" style="362"/>
    <col min="262" max="262" width="46.5703125" style="362" customWidth="1"/>
    <col min="263" max="266" width="16.85546875" style="362" customWidth="1"/>
    <col min="267" max="515" width="9.140625" style="362"/>
    <col min="516" max="516" width="6.28515625" style="362" customWidth="1"/>
    <col min="517" max="517" width="9.140625" style="362"/>
    <col min="518" max="518" width="46.5703125" style="362" customWidth="1"/>
    <col min="519" max="522" width="16.85546875" style="362" customWidth="1"/>
    <col min="523" max="771" width="9.140625" style="362"/>
    <col min="772" max="772" width="6.28515625" style="362" customWidth="1"/>
    <col min="773" max="773" width="9.140625" style="362"/>
    <col min="774" max="774" width="46.5703125" style="362" customWidth="1"/>
    <col min="775" max="778" width="16.85546875" style="362" customWidth="1"/>
    <col min="779" max="1027" width="9.140625" style="362"/>
    <col min="1028" max="1028" width="6.28515625" style="362" customWidth="1"/>
    <col min="1029" max="1029" width="9.140625" style="362"/>
    <col min="1030" max="1030" width="46.5703125" style="362" customWidth="1"/>
    <col min="1031" max="1034" width="16.85546875" style="362" customWidth="1"/>
    <col min="1035" max="1283" width="9.140625" style="362"/>
    <col min="1284" max="1284" width="6.28515625" style="362" customWidth="1"/>
    <col min="1285" max="1285" width="9.140625" style="362"/>
    <col min="1286" max="1286" width="46.5703125" style="362" customWidth="1"/>
    <col min="1287" max="1290" width="16.85546875" style="362" customWidth="1"/>
    <col min="1291" max="1539" width="9.140625" style="362"/>
    <col min="1540" max="1540" width="6.28515625" style="362" customWidth="1"/>
    <col min="1541" max="1541" width="9.140625" style="362"/>
    <col min="1542" max="1542" width="46.5703125" style="362" customWidth="1"/>
    <col min="1543" max="1546" width="16.85546875" style="362" customWidth="1"/>
    <col min="1547" max="1795" width="9.140625" style="362"/>
    <col min="1796" max="1796" width="6.28515625" style="362" customWidth="1"/>
    <col min="1797" max="1797" width="9.140625" style="362"/>
    <col min="1798" max="1798" width="46.5703125" style="362" customWidth="1"/>
    <col min="1799" max="1802" width="16.85546875" style="362" customWidth="1"/>
    <col min="1803" max="2051" width="9.140625" style="362"/>
    <col min="2052" max="2052" width="6.28515625" style="362" customWidth="1"/>
    <col min="2053" max="2053" width="9.140625" style="362"/>
    <col min="2054" max="2054" width="46.5703125" style="362" customWidth="1"/>
    <col min="2055" max="2058" width="16.85546875" style="362" customWidth="1"/>
    <col min="2059" max="2307" width="9.140625" style="362"/>
    <col min="2308" max="2308" width="6.28515625" style="362" customWidth="1"/>
    <col min="2309" max="2309" width="9.140625" style="362"/>
    <col min="2310" max="2310" width="46.5703125" style="362" customWidth="1"/>
    <col min="2311" max="2314" width="16.85546875" style="362" customWidth="1"/>
    <col min="2315" max="2563" width="9.140625" style="362"/>
    <col min="2564" max="2564" width="6.28515625" style="362" customWidth="1"/>
    <col min="2565" max="2565" width="9.140625" style="362"/>
    <col min="2566" max="2566" width="46.5703125" style="362" customWidth="1"/>
    <col min="2567" max="2570" width="16.85546875" style="362" customWidth="1"/>
    <col min="2571" max="2819" width="9.140625" style="362"/>
    <col min="2820" max="2820" width="6.28515625" style="362" customWidth="1"/>
    <col min="2821" max="2821" width="9.140625" style="362"/>
    <col min="2822" max="2822" width="46.5703125" style="362" customWidth="1"/>
    <col min="2823" max="2826" width="16.85546875" style="362" customWidth="1"/>
    <col min="2827" max="3075" width="9.140625" style="362"/>
    <col min="3076" max="3076" width="6.28515625" style="362" customWidth="1"/>
    <col min="3077" max="3077" width="9.140625" style="362"/>
    <col min="3078" max="3078" width="46.5703125" style="362" customWidth="1"/>
    <col min="3079" max="3082" width="16.85546875" style="362" customWidth="1"/>
    <col min="3083" max="3331" width="9.140625" style="362"/>
    <col min="3332" max="3332" width="6.28515625" style="362" customWidth="1"/>
    <col min="3333" max="3333" width="9.140625" style="362"/>
    <col min="3334" max="3334" width="46.5703125" style="362" customWidth="1"/>
    <col min="3335" max="3338" width="16.85546875" style="362" customWidth="1"/>
    <col min="3339" max="3587" width="9.140625" style="362"/>
    <col min="3588" max="3588" width="6.28515625" style="362" customWidth="1"/>
    <col min="3589" max="3589" width="9.140625" style="362"/>
    <col min="3590" max="3590" width="46.5703125" style="362" customWidth="1"/>
    <col min="3591" max="3594" width="16.85546875" style="362" customWidth="1"/>
    <col min="3595" max="3843" width="9.140625" style="362"/>
    <col min="3844" max="3844" width="6.28515625" style="362" customWidth="1"/>
    <col min="3845" max="3845" width="9.140625" style="362"/>
    <col min="3846" max="3846" width="46.5703125" style="362" customWidth="1"/>
    <col min="3847" max="3850" width="16.85546875" style="362" customWidth="1"/>
    <col min="3851" max="4099" width="9.140625" style="362"/>
    <col min="4100" max="4100" width="6.28515625" style="362" customWidth="1"/>
    <col min="4101" max="4101" width="9.140625" style="362"/>
    <col min="4102" max="4102" width="46.5703125" style="362" customWidth="1"/>
    <col min="4103" max="4106" width="16.85546875" style="362" customWidth="1"/>
    <col min="4107" max="4355" width="9.140625" style="362"/>
    <col min="4356" max="4356" width="6.28515625" style="362" customWidth="1"/>
    <col min="4357" max="4357" width="9.140625" style="362"/>
    <col min="4358" max="4358" width="46.5703125" style="362" customWidth="1"/>
    <col min="4359" max="4362" width="16.85546875" style="362" customWidth="1"/>
    <col min="4363" max="4611" width="9.140625" style="362"/>
    <col min="4612" max="4612" width="6.28515625" style="362" customWidth="1"/>
    <col min="4613" max="4613" width="9.140625" style="362"/>
    <col min="4614" max="4614" width="46.5703125" style="362" customWidth="1"/>
    <col min="4615" max="4618" width="16.85546875" style="362" customWidth="1"/>
    <col min="4619" max="4867" width="9.140625" style="362"/>
    <col min="4868" max="4868" width="6.28515625" style="362" customWidth="1"/>
    <col min="4869" max="4869" width="9.140625" style="362"/>
    <col min="4870" max="4870" width="46.5703125" style="362" customWidth="1"/>
    <col min="4871" max="4874" width="16.85546875" style="362" customWidth="1"/>
    <col min="4875" max="5123" width="9.140625" style="362"/>
    <col min="5124" max="5124" width="6.28515625" style="362" customWidth="1"/>
    <col min="5125" max="5125" width="9.140625" style="362"/>
    <col min="5126" max="5126" width="46.5703125" style="362" customWidth="1"/>
    <col min="5127" max="5130" width="16.85546875" style="362" customWidth="1"/>
    <col min="5131" max="5379" width="9.140625" style="362"/>
    <col min="5380" max="5380" width="6.28515625" style="362" customWidth="1"/>
    <col min="5381" max="5381" width="9.140625" style="362"/>
    <col min="5382" max="5382" width="46.5703125" style="362" customWidth="1"/>
    <col min="5383" max="5386" width="16.85546875" style="362" customWidth="1"/>
    <col min="5387" max="5635" width="9.140625" style="362"/>
    <col min="5636" max="5636" width="6.28515625" style="362" customWidth="1"/>
    <col min="5637" max="5637" width="9.140625" style="362"/>
    <col min="5638" max="5638" width="46.5703125" style="362" customWidth="1"/>
    <col min="5639" max="5642" width="16.85546875" style="362" customWidth="1"/>
    <col min="5643" max="5891" width="9.140625" style="362"/>
    <col min="5892" max="5892" width="6.28515625" style="362" customWidth="1"/>
    <col min="5893" max="5893" width="9.140625" style="362"/>
    <col min="5894" max="5894" width="46.5703125" style="362" customWidth="1"/>
    <col min="5895" max="5898" width="16.85546875" style="362" customWidth="1"/>
    <col min="5899" max="6147" width="9.140625" style="362"/>
    <col min="6148" max="6148" width="6.28515625" style="362" customWidth="1"/>
    <col min="6149" max="6149" width="9.140625" style="362"/>
    <col min="6150" max="6150" width="46.5703125" style="362" customWidth="1"/>
    <col min="6151" max="6154" width="16.85546875" style="362" customWidth="1"/>
    <col min="6155" max="6403" width="9.140625" style="362"/>
    <col min="6404" max="6404" width="6.28515625" style="362" customWidth="1"/>
    <col min="6405" max="6405" width="9.140625" style="362"/>
    <col min="6406" max="6406" width="46.5703125" style="362" customWidth="1"/>
    <col min="6407" max="6410" width="16.85546875" style="362" customWidth="1"/>
    <col min="6411" max="6659" width="9.140625" style="362"/>
    <col min="6660" max="6660" width="6.28515625" style="362" customWidth="1"/>
    <col min="6661" max="6661" width="9.140625" style="362"/>
    <col min="6662" max="6662" width="46.5703125" style="362" customWidth="1"/>
    <col min="6663" max="6666" width="16.85546875" style="362" customWidth="1"/>
    <col min="6667" max="6915" width="9.140625" style="362"/>
    <col min="6916" max="6916" width="6.28515625" style="362" customWidth="1"/>
    <col min="6917" max="6917" width="9.140625" style="362"/>
    <col min="6918" max="6918" width="46.5703125" style="362" customWidth="1"/>
    <col min="6919" max="6922" width="16.85546875" style="362" customWidth="1"/>
    <col min="6923" max="7171" width="9.140625" style="362"/>
    <col min="7172" max="7172" width="6.28515625" style="362" customWidth="1"/>
    <col min="7173" max="7173" width="9.140625" style="362"/>
    <col min="7174" max="7174" width="46.5703125" style="362" customWidth="1"/>
    <col min="7175" max="7178" width="16.85546875" style="362" customWidth="1"/>
    <col min="7179" max="7427" width="9.140625" style="362"/>
    <col min="7428" max="7428" width="6.28515625" style="362" customWidth="1"/>
    <col min="7429" max="7429" width="9.140625" style="362"/>
    <col min="7430" max="7430" width="46.5703125" style="362" customWidth="1"/>
    <col min="7431" max="7434" width="16.85546875" style="362" customWidth="1"/>
    <col min="7435" max="7683" width="9.140625" style="362"/>
    <col min="7684" max="7684" width="6.28515625" style="362" customWidth="1"/>
    <col min="7685" max="7685" width="9.140625" style="362"/>
    <col min="7686" max="7686" width="46.5703125" style="362" customWidth="1"/>
    <col min="7687" max="7690" width="16.85546875" style="362" customWidth="1"/>
    <col min="7691" max="7939" width="9.140625" style="362"/>
    <col min="7940" max="7940" width="6.28515625" style="362" customWidth="1"/>
    <col min="7941" max="7941" width="9.140625" style="362"/>
    <col min="7942" max="7942" width="46.5703125" style="362" customWidth="1"/>
    <col min="7943" max="7946" width="16.85546875" style="362" customWidth="1"/>
    <col min="7947" max="8195" width="9.140625" style="362"/>
    <col min="8196" max="8196" width="6.28515625" style="362" customWidth="1"/>
    <col min="8197" max="8197" width="9.140625" style="362"/>
    <col min="8198" max="8198" width="46.5703125" style="362" customWidth="1"/>
    <col min="8199" max="8202" width="16.85546875" style="362" customWidth="1"/>
    <col min="8203" max="8451" width="9.140625" style="362"/>
    <col min="8452" max="8452" width="6.28515625" style="362" customWidth="1"/>
    <col min="8453" max="8453" width="9.140625" style="362"/>
    <col min="8454" max="8454" width="46.5703125" style="362" customWidth="1"/>
    <col min="8455" max="8458" width="16.85546875" style="362" customWidth="1"/>
    <col min="8459" max="8707" width="9.140625" style="362"/>
    <col min="8708" max="8708" width="6.28515625" style="362" customWidth="1"/>
    <col min="8709" max="8709" width="9.140625" style="362"/>
    <col min="8710" max="8710" width="46.5703125" style="362" customWidth="1"/>
    <col min="8711" max="8714" width="16.85546875" style="362" customWidth="1"/>
    <col min="8715" max="8963" width="9.140625" style="362"/>
    <col min="8964" max="8964" width="6.28515625" style="362" customWidth="1"/>
    <col min="8965" max="8965" width="9.140625" style="362"/>
    <col min="8966" max="8966" width="46.5703125" style="362" customWidth="1"/>
    <col min="8967" max="8970" width="16.85546875" style="362" customWidth="1"/>
    <col min="8971" max="9219" width="9.140625" style="362"/>
    <col min="9220" max="9220" width="6.28515625" style="362" customWidth="1"/>
    <col min="9221" max="9221" width="9.140625" style="362"/>
    <col min="9222" max="9222" width="46.5703125" style="362" customWidth="1"/>
    <col min="9223" max="9226" width="16.85546875" style="362" customWidth="1"/>
    <col min="9227" max="9475" width="9.140625" style="362"/>
    <col min="9476" max="9476" width="6.28515625" style="362" customWidth="1"/>
    <col min="9477" max="9477" width="9.140625" style="362"/>
    <col min="9478" max="9478" width="46.5703125" style="362" customWidth="1"/>
    <col min="9479" max="9482" width="16.85546875" style="362" customWidth="1"/>
    <col min="9483" max="9731" width="9.140625" style="362"/>
    <col min="9732" max="9732" width="6.28515625" style="362" customWidth="1"/>
    <col min="9733" max="9733" width="9.140625" style="362"/>
    <col min="9734" max="9734" width="46.5703125" style="362" customWidth="1"/>
    <col min="9735" max="9738" width="16.85546875" style="362" customWidth="1"/>
    <col min="9739" max="9987" width="9.140625" style="362"/>
    <col min="9988" max="9988" width="6.28515625" style="362" customWidth="1"/>
    <col min="9989" max="9989" width="9.140625" style="362"/>
    <col min="9990" max="9990" width="46.5703125" style="362" customWidth="1"/>
    <col min="9991" max="9994" width="16.85546875" style="362" customWidth="1"/>
    <col min="9995" max="10243" width="9.140625" style="362"/>
    <col min="10244" max="10244" width="6.28515625" style="362" customWidth="1"/>
    <col min="10245" max="10245" width="9.140625" style="362"/>
    <col min="10246" max="10246" width="46.5703125" style="362" customWidth="1"/>
    <col min="10247" max="10250" width="16.85546875" style="362" customWidth="1"/>
    <col min="10251" max="10499" width="9.140625" style="362"/>
    <col min="10500" max="10500" width="6.28515625" style="362" customWidth="1"/>
    <col min="10501" max="10501" width="9.140625" style="362"/>
    <col min="10502" max="10502" width="46.5703125" style="362" customWidth="1"/>
    <col min="10503" max="10506" width="16.85546875" style="362" customWidth="1"/>
    <col min="10507" max="10755" width="9.140625" style="362"/>
    <col min="10756" max="10756" width="6.28515625" style="362" customWidth="1"/>
    <col min="10757" max="10757" width="9.140625" style="362"/>
    <col min="10758" max="10758" width="46.5703125" style="362" customWidth="1"/>
    <col min="10759" max="10762" width="16.85546875" style="362" customWidth="1"/>
    <col min="10763" max="11011" width="9.140625" style="362"/>
    <col min="11012" max="11012" width="6.28515625" style="362" customWidth="1"/>
    <col min="11013" max="11013" width="9.140625" style="362"/>
    <col min="11014" max="11014" width="46.5703125" style="362" customWidth="1"/>
    <col min="11015" max="11018" width="16.85546875" style="362" customWidth="1"/>
    <col min="11019" max="11267" width="9.140625" style="362"/>
    <col min="11268" max="11268" width="6.28515625" style="362" customWidth="1"/>
    <col min="11269" max="11269" width="9.140625" style="362"/>
    <col min="11270" max="11270" width="46.5703125" style="362" customWidth="1"/>
    <col min="11271" max="11274" width="16.85546875" style="362" customWidth="1"/>
    <col min="11275" max="11523" width="9.140625" style="362"/>
    <col min="11524" max="11524" width="6.28515625" style="362" customWidth="1"/>
    <col min="11525" max="11525" width="9.140625" style="362"/>
    <col min="11526" max="11526" width="46.5703125" style="362" customWidth="1"/>
    <col min="11527" max="11530" width="16.85546875" style="362" customWidth="1"/>
    <col min="11531" max="11779" width="9.140625" style="362"/>
    <col min="11780" max="11780" width="6.28515625" style="362" customWidth="1"/>
    <col min="11781" max="11781" width="9.140625" style="362"/>
    <col min="11782" max="11782" width="46.5703125" style="362" customWidth="1"/>
    <col min="11783" max="11786" width="16.85546875" style="362" customWidth="1"/>
    <col min="11787" max="12035" width="9.140625" style="362"/>
    <col min="12036" max="12036" width="6.28515625" style="362" customWidth="1"/>
    <col min="12037" max="12037" width="9.140625" style="362"/>
    <col min="12038" max="12038" width="46.5703125" style="362" customWidth="1"/>
    <col min="12039" max="12042" width="16.85546875" style="362" customWidth="1"/>
    <col min="12043" max="12291" width="9.140625" style="362"/>
    <col min="12292" max="12292" width="6.28515625" style="362" customWidth="1"/>
    <col min="12293" max="12293" width="9.140625" style="362"/>
    <col min="12294" max="12294" width="46.5703125" style="362" customWidth="1"/>
    <col min="12295" max="12298" width="16.85546875" style="362" customWidth="1"/>
    <col min="12299" max="12547" width="9.140625" style="362"/>
    <col min="12548" max="12548" width="6.28515625" style="362" customWidth="1"/>
    <col min="12549" max="12549" width="9.140625" style="362"/>
    <col min="12550" max="12550" width="46.5703125" style="362" customWidth="1"/>
    <col min="12551" max="12554" width="16.85546875" style="362" customWidth="1"/>
    <col min="12555" max="12803" width="9.140625" style="362"/>
    <col min="12804" max="12804" width="6.28515625" style="362" customWidth="1"/>
    <col min="12805" max="12805" width="9.140625" style="362"/>
    <col min="12806" max="12806" width="46.5703125" style="362" customWidth="1"/>
    <col min="12807" max="12810" width="16.85546875" style="362" customWidth="1"/>
    <col min="12811" max="13059" width="9.140625" style="362"/>
    <col min="13060" max="13060" width="6.28515625" style="362" customWidth="1"/>
    <col min="13061" max="13061" width="9.140625" style="362"/>
    <col min="13062" max="13062" width="46.5703125" style="362" customWidth="1"/>
    <col min="13063" max="13066" width="16.85546875" style="362" customWidth="1"/>
    <col min="13067" max="13315" width="9.140625" style="362"/>
    <col min="13316" max="13316" width="6.28515625" style="362" customWidth="1"/>
    <col min="13317" max="13317" width="9.140625" style="362"/>
    <col min="13318" max="13318" width="46.5703125" style="362" customWidth="1"/>
    <col min="13319" max="13322" width="16.85546875" style="362" customWidth="1"/>
    <col min="13323" max="13571" width="9.140625" style="362"/>
    <col min="13572" max="13572" width="6.28515625" style="362" customWidth="1"/>
    <col min="13573" max="13573" width="9.140625" style="362"/>
    <col min="13574" max="13574" width="46.5703125" style="362" customWidth="1"/>
    <col min="13575" max="13578" width="16.85546875" style="362" customWidth="1"/>
    <col min="13579" max="13827" width="9.140625" style="362"/>
    <col min="13828" max="13828" width="6.28515625" style="362" customWidth="1"/>
    <col min="13829" max="13829" width="9.140625" style="362"/>
    <col min="13830" max="13830" width="46.5703125" style="362" customWidth="1"/>
    <col min="13831" max="13834" width="16.85546875" style="362" customWidth="1"/>
    <col min="13835" max="14083" width="9.140625" style="362"/>
    <col min="14084" max="14084" width="6.28515625" style="362" customWidth="1"/>
    <col min="14085" max="14085" width="9.140625" style="362"/>
    <col min="14086" max="14086" width="46.5703125" style="362" customWidth="1"/>
    <col min="14087" max="14090" width="16.85546875" style="362" customWidth="1"/>
    <col min="14091" max="14339" width="9.140625" style="362"/>
    <col min="14340" max="14340" width="6.28515625" style="362" customWidth="1"/>
    <col min="14341" max="14341" width="9.140625" style="362"/>
    <col min="14342" max="14342" width="46.5703125" style="362" customWidth="1"/>
    <col min="14343" max="14346" width="16.85546875" style="362" customWidth="1"/>
    <col min="14347" max="14595" width="9.140625" style="362"/>
    <col min="14596" max="14596" width="6.28515625" style="362" customWidth="1"/>
    <col min="14597" max="14597" width="9.140625" style="362"/>
    <col min="14598" max="14598" width="46.5703125" style="362" customWidth="1"/>
    <col min="14599" max="14602" width="16.85546875" style="362" customWidth="1"/>
    <col min="14603" max="14851" width="9.140625" style="362"/>
    <col min="14852" max="14852" width="6.28515625" style="362" customWidth="1"/>
    <col min="14853" max="14853" width="9.140625" style="362"/>
    <col min="14854" max="14854" width="46.5703125" style="362" customWidth="1"/>
    <col min="14855" max="14858" width="16.85546875" style="362" customWidth="1"/>
    <col min="14859" max="15107" width="9.140625" style="362"/>
    <col min="15108" max="15108" width="6.28515625" style="362" customWidth="1"/>
    <col min="15109" max="15109" width="9.140625" style="362"/>
    <col min="15110" max="15110" width="46.5703125" style="362" customWidth="1"/>
    <col min="15111" max="15114" width="16.85546875" style="362" customWidth="1"/>
    <col min="15115" max="15363" width="9.140625" style="362"/>
    <col min="15364" max="15364" width="6.28515625" style="362" customWidth="1"/>
    <col min="15365" max="15365" width="9.140625" style="362"/>
    <col min="15366" max="15366" width="46.5703125" style="362" customWidth="1"/>
    <col min="15367" max="15370" width="16.85546875" style="362" customWidth="1"/>
    <col min="15371" max="15619" width="9.140625" style="362"/>
    <col min="15620" max="15620" width="6.28515625" style="362" customWidth="1"/>
    <col min="15621" max="15621" width="9.140625" style="362"/>
    <col min="15622" max="15622" width="46.5703125" style="362" customWidth="1"/>
    <col min="15623" max="15626" width="16.85546875" style="362" customWidth="1"/>
    <col min="15627" max="15875" width="9.140625" style="362"/>
    <col min="15876" max="15876" width="6.28515625" style="362" customWidth="1"/>
    <col min="15877" max="15877" width="9.140625" style="362"/>
    <col min="15878" max="15878" width="46.5703125" style="362" customWidth="1"/>
    <col min="15879" max="15882" width="16.85546875" style="362" customWidth="1"/>
    <col min="15883" max="16131" width="9.140625" style="362"/>
    <col min="16132" max="16132" width="6.28515625" style="362" customWidth="1"/>
    <col min="16133" max="16133" width="9.140625" style="362"/>
    <col min="16134" max="16134" width="46.5703125" style="362" customWidth="1"/>
    <col min="16135" max="16138" width="16.85546875" style="362" customWidth="1"/>
    <col min="16139" max="16384" width="9.140625" style="362"/>
  </cols>
  <sheetData>
    <row r="1" spans="1:11" x14ac:dyDescent="0.2">
      <c r="A1" s="360"/>
      <c r="B1" s="360"/>
      <c r="C1" s="360"/>
      <c r="D1" s="361"/>
      <c r="E1" s="361"/>
      <c r="F1" s="361"/>
      <c r="G1" s="361"/>
      <c r="H1" s="361"/>
      <c r="I1" s="361"/>
      <c r="J1" s="361"/>
      <c r="K1" s="383" t="s">
        <v>384</v>
      </c>
    </row>
    <row r="2" spans="1:11" x14ac:dyDescent="0.2">
      <c r="A2" s="360"/>
      <c r="B2" s="360"/>
      <c r="C2" s="360"/>
      <c r="D2" s="361"/>
      <c r="E2" s="361"/>
      <c r="F2" s="361"/>
      <c r="G2" s="361"/>
      <c r="H2" s="361"/>
      <c r="I2" s="361"/>
      <c r="J2" s="361"/>
      <c r="K2" s="363"/>
    </row>
    <row r="3" spans="1:11" ht="36.6" customHeight="1" x14ac:dyDescent="0.2">
      <c r="A3" s="558" t="s">
        <v>419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</row>
    <row r="4" spans="1:11" ht="26.25" customHeight="1" x14ac:dyDescent="0.2">
      <c r="A4" s="559" t="s">
        <v>2</v>
      </c>
      <c r="B4" s="559" t="s">
        <v>68</v>
      </c>
      <c r="C4" s="559" t="s">
        <v>261</v>
      </c>
      <c r="D4" s="552" t="s">
        <v>211</v>
      </c>
      <c r="E4" s="553"/>
      <c r="F4" s="554"/>
      <c r="G4" s="552" t="s">
        <v>223</v>
      </c>
      <c r="H4" s="553"/>
      <c r="I4" s="554"/>
      <c r="J4" s="552" t="s">
        <v>13</v>
      </c>
      <c r="K4" s="554"/>
    </row>
    <row r="5" spans="1:11" ht="30" customHeight="1" x14ac:dyDescent="0.2">
      <c r="A5" s="560"/>
      <c r="B5" s="560"/>
      <c r="C5" s="560"/>
      <c r="D5" s="555"/>
      <c r="E5" s="556"/>
      <c r="F5" s="557"/>
      <c r="G5" s="555"/>
      <c r="H5" s="556"/>
      <c r="I5" s="557"/>
      <c r="J5" s="364" t="s">
        <v>264</v>
      </c>
      <c r="K5" s="364" t="s">
        <v>265</v>
      </c>
    </row>
    <row r="6" spans="1:11" ht="18.75" customHeight="1" x14ac:dyDescent="0.2">
      <c r="A6" s="380"/>
      <c r="B6" s="380"/>
      <c r="C6" s="380"/>
      <c r="D6" s="382" t="s">
        <v>5</v>
      </c>
      <c r="E6" s="382" t="s">
        <v>6</v>
      </c>
      <c r="F6" s="382" t="s">
        <v>219</v>
      </c>
      <c r="G6" s="382" t="s">
        <v>5</v>
      </c>
      <c r="H6" s="382" t="s">
        <v>6</v>
      </c>
      <c r="I6" s="382" t="s">
        <v>219</v>
      </c>
      <c r="J6" s="381"/>
      <c r="K6" s="381"/>
    </row>
    <row r="7" spans="1:11" ht="30" customHeight="1" x14ac:dyDescent="0.2">
      <c r="A7" s="365">
        <v>754</v>
      </c>
      <c r="B7" s="365"/>
      <c r="C7" s="366" t="s">
        <v>29</v>
      </c>
      <c r="D7" s="367">
        <v>50000</v>
      </c>
      <c r="E7" s="367">
        <v>50000</v>
      </c>
      <c r="F7" s="367">
        <f>E7/D7*100</f>
        <v>100</v>
      </c>
      <c r="G7" s="367">
        <v>50000</v>
      </c>
      <c r="H7" s="367">
        <v>50000</v>
      </c>
      <c r="I7" s="367">
        <f>H7/G7*100</f>
        <v>100</v>
      </c>
      <c r="J7" s="367">
        <v>50000</v>
      </c>
      <c r="K7" s="367">
        <v>0</v>
      </c>
    </row>
    <row r="8" spans="1:11" ht="32.25" customHeight="1" x14ac:dyDescent="0.2">
      <c r="A8" s="368"/>
      <c r="B8" s="368">
        <v>75412</v>
      </c>
      <c r="C8" s="369" t="s">
        <v>452</v>
      </c>
      <c r="D8" s="370">
        <v>20000</v>
      </c>
      <c r="E8" s="370">
        <v>20000</v>
      </c>
      <c r="F8" s="370">
        <f t="shared" ref="F8:F24" si="0">E8/D8*100</f>
        <v>100</v>
      </c>
      <c r="G8" s="370">
        <v>20000</v>
      </c>
      <c r="H8" s="370">
        <v>20000</v>
      </c>
      <c r="I8" s="370">
        <f t="shared" ref="I8:I25" si="1">H8/G8*100</f>
        <v>100</v>
      </c>
      <c r="J8" s="370">
        <v>20000</v>
      </c>
      <c r="K8" s="370">
        <v>0</v>
      </c>
    </row>
    <row r="9" spans="1:11" ht="42.75" customHeight="1" x14ac:dyDescent="0.2">
      <c r="A9" s="368"/>
      <c r="B9" s="368">
        <v>75412</v>
      </c>
      <c r="C9" s="371" t="s">
        <v>453</v>
      </c>
      <c r="D9" s="370">
        <v>30000</v>
      </c>
      <c r="E9" s="370">
        <v>30000</v>
      </c>
      <c r="F9" s="370">
        <f t="shared" si="0"/>
        <v>100</v>
      </c>
      <c r="G9" s="370">
        <v>30000</v>
      </c>
      <c r="H9" s="370">
        <v>30000</v>
      </c>
      <c r="I9" s="370">
        <f t="shared" si="1"/>
        <v>100</v>
      </c>
      <c r="J9" s="370">
        <v>30000</v>
      </c>
      <c r="K9" s="370">
        <v>0</v>
      </c>
    </row>
    <row r="10" spans="1:11" s="399" customFormat="1" ht="33" customHeight="1" x14ac:dyDescent="0.2">
      <c r="A10" s="365">
        <v>900</v>
      </c>
      <c r="B10" s="365"/>
      <c r="C10" s="366" t="s">
        <v>420</v>
      </c>
      <c r="D10" s="367">
        <v>110551</v>
      </c>
      <c r="E10" s="367">
        <f>SUM(E11:E22)</f>
        <v>110551</v>
      </c>
      <c r="F10" s="367">
        <f t="shared" si="0"/>
        <v>100</v>
      </c>
      <c r="G10" s="367">
        <v>110551</v>
      </c>
      <c r="H10" s="367">
        <f>SUM(H11:H22)</f>
        <v>110551</v>
      </c>
      <c r="I10" s="367">
        <f t="shared" si="1"/>
        <v>100</v>
      </c>
      <c r="J10" s="367">
        <v>110551</v>
      </c>
      <c r="K10" s="367">
        <v>0</v>
      </c>
    </row>
    <row r="11" spans="1:11" ht="32.25" customHeight="1" x14ac:dyDescent="0.2">
      <c r="A11" s="368"/>
      <c r="B11" s="368">
        <v>90005</v>
      </c>
      <c r="C11" s="371" t="s">
        <v>421</v>
      </c>
      <c r="D11" s="370">
        <v>4115</v>
      </c>
      <c r="E11" s="370">
        <v>4115</v>
      </c>
      <c r="F11" s="370">
        <f t="shared" si="0"/>
        <v>100</v>
      </c>
      <c r="G11" s="370">
        <v>4115</v>
      </c>
      <c r="H11" s="370">
        <v>4115</v>
      </c>
      <c r="I11" s="370">
        <f t="shared" si="1"/>
        <v>100</v>
      </c>
      <c r="J11" s="370">
        <v>4115</v>
      </c>
      <c r="K11" s="370">
        <v>0</v>
      </c>
    </row>
    <row r="12" spans="1:11" ht="39.75" customHeight="1" x14ac:dyDescent="0.2">
      <c r="A12" s="368"/>
      <c r="B12" s="368">
        <v>90005</v>
      </c>
      <c r="C12" s="369" t="s">
        <v>422</v>
      </c>
      <c r="D12" s="370">
        <v>2091</v>
      </c>
      <c r="E12" s="370">
        <v>2091</v>
      </c>
      <c r="F12" s="370">
        <f t="shared" si="0"/>
        <v>100</v>
      </c>
      <c r="G12" s="370">
        <v>2091</v>
      </c>
      <c r="H12" s="370">
        <v>2091</v>
      </c>
      <c r="I12" s="370">
        <f t="shared" si="1"/>
        <v>100</v>
      </c>
      <c r="J12" s="370">
        <v>2091</v>
      </c>
      <c r="K12" s="370">
        <v>0</v>
      </c>
    </row>
    <row r="13" spans="1:11" ht="39.75" customHeight="1" x14ac:dyDescent="0.2">
      <c r="A13" s="368"/>
      <c r="B13" s="368">
        <v>90005</v>
      </c>
      <c r="C13" s="369" t="s">
        <v>423</v>
      </c>
      <c r="D13" s="370">
        <v>14345</v>
      </c>
      <c r="E13" s="370">
        <v>14345</v>
      </c>
      <c r="F13" s="370">
        <f t="shared" si="0"/>
        <v>100</v>
      </c>
      <c r="G13" s="370">
        <v>14345</v>
      </c>
      <c r="H13" s="370">
        <v>14345</v>
      </c>
      <c r="I13" s="370">
        <f t="shared" si="1"/>
        <v>100</v>
      </c>
      <c r="J13" s="370">
        <v>14345</v>
      </c>
      <c r="K13" s="370">
        <v>0</v>
      </c>
    </row>
    <row r="14" spans="1:11" ht="23.25" customHeight="1" x14ac:dyDescent="0.2">
      <c r="A14" s="368"/>
      <c r="B14" s="368">
        <v>90015</v>
      </c>
      <c r="C14" s="371" t="s">
        <v>424</v>
      </c>
      <c r="D14" s="370">
        <v>10000</v>
      </c>
      <c r="E14" s="370">
        <v>10000</v>
      </c>
      <c r="F14" s="370">
        <f t="shared" si="0"/>
        <v>100</v>
      </c>
      <c r="G14" s="370">
        <v>10000</v>
      </c>
      <c r="H14" s="370">
        <v>10000</v>
      </c>
      <c r="I14" s="370">
        <f t="shared" si="1"/>
        <v>100</v>
      </c>
      <c r="J14" s="370">
        <v>10000</v>
      </c>
      <c r="K14" s="370">
        <v>0</v>
      </c>
    </row>
    <row r="15" spans="1:11" ht="23.25" customHeight="1" x14ac:dyDescent="0.2">
      <c r="A15" s="368"/>
      <c r="B15" s="368">
        <v>90015</v>
      </c>
      <c r="C15" s="371" t="s">
        <v>425</v>
      </c>
      <c r="D15" s="370">
        <v>10000</v>
      </c>
      <c r="E15" s="370">
        <v>10000</v>
      </c>
      <c r="F15" s="370">
        <f t="shared" si="0"/>
        <v>100</v>
      </c>
      <c r="G15" s="370">
        <v>10000</v>
      </c>
      <c r="H15" s="370">
        <v>10000</v>
      </c>
      <c r="I15" s="370">
        <f t="shared" si="1"/>
        <v>100</v>
      </c>
      <c r="J15" s="370">
        <v>10000</v>
      </c>
      <c r="K15" s="370">
        <v>0</v>
      </c>
    </row>
    <row r="16" spans="1:11" ht="23.25" customHeight="1" x14ac:dyDescent="0.2">
      <c r="A16" s="368"/>
      <c r="B16" s="368">
        <v>90015</v>
      </c>
      <c r="C16" s="371" t="s">
        <v>426</v>
      </c>
      <c r="D16" s="370">
        <v>10000</v>
      </c>
      <c r="E16" s="370">
        <v>10000</v>
      </c>
      <c r="F16" s="370">
        <f t="shared" si="0"/>
        <v>100</v>
      </c>
      <c r="G16" s="370">
        <v>10000</v>
      </c>
      <c r="H16" s="370">
        <v>10000</v>
      </c>
      <c r="I16" s="370">
        <f t="shared" si="1"/>
        <v>100</v>
      </c>
      <c r="J16" s="370">
        <v>10000</v>
      </c>
      <c r="K16" s="370">
        <v>0</v>
      </c>
    </row>
    <row r="17" spans="1:11" ht="23.25" customHeight="1" x14ac:dyDescent="0.2">
      <c r="A17" s="368"/>
      <c r="B17" s="368">
        <v>90015</v>
      </c>
      <c r="C17" s="369" t="s">
        <v>427</v>
      </c>
      <c r="D17" s="370">
        <v>10000</v>
      </c>
      <c r="E17" s="370">
        <v>10000</v>
      </c>
      <c r="F17" s="370">
        <f t="shared" si="0"/>
        <v>100</v>
      </c>
      <c r="G17" s="370">
        <v>10000</v>
      </c>
      <c r="H17" s="370">
        <v>10000</v>
      </c>
      <c r="I17" s="370">
        <f t="shared" si="1"/>
        <v>100</v>
      </c>
      <c r="J17" s="370">
        <v>10000</v>
      </c>
      <c r="K17" s="370">
        <v>0</v>
      </c>
    </row>
    <row r="18" spans="1:11" ht="23.25" customHeight="1" x14ac:dyDescent="0.2">
      <c r="A18" s="368"/>
      <c r="B18" s="368">
        <v>90015</v>
      </c>
      <c r="C18" s="371" t="s">
        <v>428</v>
      </c>
      <c r="D18" s="370">
        <v>10000</v>
      </c>
      <c r="E18" s="370">
        <v>10000</v>
      </c>
      <c r="F18" s="370">
        <f t="shared" si="0"/>
        <v>100</v>
      </c>
      <c r="G18" s="370">
        <v>10000</v>
      </c>
      <c r="H18" s="370">
        <v>10000</v>
      </c>
      <c r="I18" s="370">
        <f t="shared" si="1"/>
        <v>100</v>
      </c>
      <c r="J18" s="370">
        <v>10000</v>
      </c>
      <c r="K18" s="370">
        <v>0</v>
      </c>
    </row>
    <row r="19" spans="1:11" ht="23.25" customHeight="1" x14ac:dyDescent="0.2">
      <c r="A19" s="368"/>
      <c r="B19" s="368">
        <v>90015</v>
      </c>
      <c r="C19" s="369" t="s">
        <v>429</v>
      </c>
      <c r="D19" s="370">
        <v>10000</v>
      </c>
      <c r="E19" s="370">
        <v>10000</v>
      </c>
      <c r="F19" s="370">
        <f t="shared" si="0"/>
        <v>100</v>
      </c>
      <c r="G19" s="370">
        <v>10000</v>
      </c>
      <c r="H19" s="370">
        <v>10000</v>
      </c>
      <c r="I19" s="370">
        <f t="shared" si="1"/>
        <v>100</v>
      </c>
      <c r="J19" s="370">
        <v>10000</v>
      </c>
      <c r="K19" s="370">
        <v>0</v>
      </c>
    </row>
    <row r="20" spans="1:11" ht="30.75" customHeight="1" x14ac:dyDescent="0.2">
      <c r="A20" s="365"/>
      <c r="B20" s="368">
        <v>90015</v>
      </c>
      <c r="C20" s="371" t="s">
        <v>430</v>
      </c>
      <c r="D20" s="370">
        <v>10000</v>
      </c>
      <c r="E20" s="370">
        <v>10000</v>
      </c>
      <c r="F20" s="370">
        <f t="shared" si="0"/>
        <v>100</v>
      </c>
      <c r="G20" s="370">
        <v>10000</v>
      </c>
      <c r="H20" s="370">
        <v>10000</v>
      </c>
      <c r="I20" s="370">
        <f t="shared" si="1"/>
        <v>100</v>
      </c>
      <c r="J20" s="370">
        <v>10000</v>
      </c>
      <c r="K20" s="370">
        <v>0</v>
      </c>
    </row>
    <row r="21" spans="1:11" ht="27.75" customHeight="1" x14ac:dyDescent="0.2">
      <c r="A21" s="365"/>
      <c r="B21" s="368">
        <v>90015</v>
      </c>
      <c r="C21" s="371" t="s">
        <v>431</v>
      </c>
      <c r="D21" s="370">
        <v>10000</v>
      </c>
      <c r="E21" s="370">
        <v>10000</v>
      </c>
      <c r="F21" s="370">
        <f t="shared" si="0"/>
        <v>100</v>
      </c>
      <c r="G21" s="370">
        <v>10000</v>
      </c>
      <c r="H21" s="370">
        <v>10000</v>
      </c>
      <c r="I21" s="370">
        <v>0</v>
      </c>
      <c r="J21" s="370">
        <v>10000</v>
      </c>
      <c r="K21" s="370">
        <v>0</v>
      </c>
    </row>
    <row r="22" spans="1:11" ht="26.25" customHeight="1" x14ac:dyDescent="0.2">
      <c r="A22" s="365"/>
      <c r="B22" s="368">
        <v>90015</v>
      </c>
      <c r="C22" s="369" t="s">
        <v>432</v>
      </c>
      <c r="D22" s="370">
        <v>10000</v>
      </c>
      <c r="E22" s="370">
        <v>10000</v>
      </c>
      <c r="F22" s="370">
        <f t="shared" si="0"/>
        <v>100</v>
      </c>
      <c r="G22" s="370">
        <v>10000</v>
      </c>
      <c r="H22" s="370">
        <v>10000</v>
      </c>
      <c r="I22" s="370">
        <v>0</v>
      </c>
      <c r="J22" s="370">
        <v>10000</v>
      </c>
      <c r="K22" s="370">
        <v>0</v>
      </c>
    </row>
    <row r="23" spans="1:11" ht="23.25" customHeight="1" x14ac:dyDescent="0.2">
      <c r="A23" s="365">
        <v>926</v>
      </c>
      <c r="B23" s="372"/>
      <c r="C23" s="366" t="s">
        <v>179</v>
      </c>
      <c r="D23" s="367">
        <v>49353</v>
      </c>
      <c r="E23" s="367">
        <f>E24</f>
        <v>49353</v>
      </c>
      <c r="F23" s="367">
        <v>100</v>
      </c>
      <c r="G23" s="367">
        <v>49353</v>
      </c>
      <c r="H23" s="367">
        <v>49353</v>
      </c>
      <c r="I23" s="367">
        <v>0</v>
      </c>
      <c r="J23" s="367">
        <v>49353</v>
      </c>
      <c r="K23" s="367">
        <v>0</v>
      </c>
    </row>
    <row r="24" spans="1:11" ht="40.5" customHeight="1" x14ac:dyDescent="0.2">
      <c r="A24" s="373"/>
      <c r="B24" s="374">
        <v>92601</v>
      </c>
      <c r="C24" s="375" t="s">
        <v>414</v>
      </c>
      <c r="D24" s="376">
        <v>49353</v>
      </c>
      <c r="E24" s="376">
        <v>49353</v>
      </c>
      <c r="F24" s="370">
        <f t="shared" si="0"/>
        <v>100</v>
      </c>
      <c r="G24" s="376">
        <v>49353</v>
      </c>
      <c r="H24" s="376">
        <v>49353</v>
      </c>
      <c r="I24" s="370">
        <f t="shared" si="1"/>
        <v>100</v>
      </c>
      <c r="J24" s="376">
        <v>49353</v>
      </c>
      <c r="K24" s="370">
        <v>0</v>
      </c>
    </row>
    <row r="25" spans="1:11" ht="41.25" customHeight="1" x14ac:dyDescent="0.2">
      <c r="A25" s="377"/>
      <c r="B25" s="378"/>
      <c r="C25" s="379" t="s">
        <v>4</v>
      </c>
      <c r="D25" s="367">
        <f>D23+D7+D10</f>
        <v>209904</v>
      </c>
      <c r="E25" s="367">
        <f>E23+E10+E7</f>
        <v>209904</v>
      </c>
      <c r="F25" s="367">
        <f>E25/D25*100</f>
        <v>100</v>
      </c>
      <c r="G25" s="367">
        <v>209904</v>
      </c>
      <c r="H25" s="367">
        <f>H23+H10+H7</f>
        <v>209904</v>
      </c>
      <c r="I25" s="367">
        <f t="shared" si="1"/>
        <v>100</v>
      </c>
      <c r="J25" s="367">
        <f>J23+J10+J7</f>
        <v>209904</v>
      </c>
      <c r="K25" s="367">
        <v>0</v>
      </c>
    </row>
  </sheetData>
  <mergeCells count="7">
    <mergeCell ref="D4:F5"/>
    <mergeCell ref="G4:I5"/>
    <mergeCell ref="J4:K4"/>
    <mergeCell ref="A3:K3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S3" sqref="S3"/>
    </sheetView>
  </sheetViews>
  <sheetFormatPr defaultRowHeight="12.75" x14ac:dyDescent="0.2"/>
  <cols>
    <col min="1" max="1" width="6.28515625" style="362" customWidth="1"/>
    <col min="2" max="2" width="9.140625" style="362"/>
    <col min="3" max="3" width="40.28515625" style="362" customWidth="1"/>
    <col min="4" max="4" width="15.42578125" style="362" customWidth="1"/>
    <col min="5" max="5" width="13.42578125" style="362" customWidth="1"/>
    <col min="6" max="6" width="11.7109375" style="362" customWidth="1"/>
    <col min="7" max="7" width="11.42578125" style="362" customWidth="1"/>
    <col min="8" max="8" width="13.42578125" style="362" customWidth="1"/>
    <col min="9" max="9" width="10.28515625" style="362" customWidth="1"/>
    <col min="10" max="10" width="15" style="362" customWidth="1"/>
    <col min="11" max="11" width="16.85546875" style="362" customWidth="1"/>
    <col min="12" max="259" width="9.140625" style="362"/>
    <col min="260" max="260" width="6.28515625" style="362" customWidth="1"/>
    <col min="261" max="261" width="9.140625" style="362"/>
    <col min="262" max="262" width="46.5703125" style="362" customWidth="1"/>
    <col min="263" max="266" width="16.85546875" style="362" customWidth="1"/>
    <col min="267" max="515" width="9.140625" style="362"/>
    <col min="516" max="516" width="6.28515625" style="362" customWidth="1"/>
    <col min="517" max="517" width="9.140625" style="362"/>
    <col min="518" max="518" width="46.5703125" style="362" customWidth="1"/>
    <col min="519" max="522" width="16.85546875" style="362" customWidth="1"/>
    <col min="523" max="771" width="9.140625" style="362"/>
    <col min="772" max="772" width="6.28515625" style="362" customWidth="1"/>
    <col min="773" max="773" width="9.140625" style="362"/>
    <col min="774" max="774" width="46.5703125" style="362" customWidth="1"/>
    <col min="775" max="778" width="16.85546875" style="362" customWidth="1"/>
    <col min="779" max="1027" width="9.140625" style="362"/>
    <col min="1028" max="1028" width="6.28515625" style="362" customWidth="1"/>
    <col min="1029" max="1029" width="9.140625" style="362"/>
    <col min="1030" max="1030" width="46.5703125" style="362" customWidth="1"/>
    <col min="1031" max="1034" width="16.85546875" style="362" customWidth="1"/>
    <col min="1035" max="1283" width="9.140625" style="362"/>
    <col min="1284" max="1284" width="6.28515625" style="362" customWidth="1"/>
    <col min="1285" max="1285" width="9.140625" style="362"/>
    <col min="1286" max="1286" width="46.5703125" style="362" customWidth="1"/>
    <col min="1287" max="1290" width="16.85546875" style="362" customWidth="1"/>
    <col min="1291" max="1539" width="9.140625" style="362"/>
    <col min="1540" max="1540" width="6.28515625" style="362" customWidth="1"/>
    <col min="1541" max="1541" width="9.140625" style="362"/>
    <col min="1542" max="1542" width="46.5703125" style="362" customWidth="1"/>
    <col min="1543" max="1546" width="16.85546875" style="362" customWidth="1"/>
    <col min="1547" max="1795" width="9.140625" style="362"/>
    <col min="1796" max="1796" width="6.28515625" style="362" customWidth="1"/>
    <col min="1797" max="1797" width="9.140625" style="362"/>
    <col min="1798" max="1798" width="46.5703125" style="362" customWidth="1"/>
    <col min="1799" max="1802" width="16.85546875" style="362" customWidth="1"/>
    <col min="1803" max="2051" width="9.140625" style="362"/>
    <col min="2052" max="2052" width="6.28515625" style="362" customWidth="1"/>
    <col min="2053" max="2053" width="9.140625" style="362"/>
    <col min="2054" max="2054" width="46.5703125" style="362" customWidth="1"/>
    <col min="2055" max="2058" width="16.85546875" style="362" customWidth="1"/>
    <col min="2059" max="2307" width="9.140625" style="362"/>
    <col min="2308" max="2308" width="6.28515625" style="362" customWidth="1"/>
    <col min="2309" max="2309" width="9.140625" style="362"/>
    <col min="2310" max="2310" width="46.5703125" style="362" customWidth="1"/>
    <col min="2311" max="2314" width="16.85546875" style="362" customWidth="1"/>
    <col min="2315" max="2563" width="9.140625" style="362"/>
    <col min="2564" max="2564" width="6.28515625" style="362" customWidth="1"/>
    <col min="2565" max="2565" width="9.140625" style="362"/>
    <col min="2566" max="2566" width="46.5703125" style="362" customWidth="1"/>
    <col min="2567" max="2570" width="16.85546875" style="362" customWidth="1"/>
    <col min="2571" max="2819" width="9.140625" style="362"/>
    <col min="2820" max="2820" width="6.28515625" style="362" customWidth="1"/>
    <col min="2821" max="2821" width="9.140625" style="362"/>
    <col min="2822" max="2822" width="46.5703125" style="362" customWidth="1"/>
    <col min="2823" max="2826" width="16.85546875" style="362" customWidth="1"/>
    <col min="2827" max="3075" width="9.140625" style="362"/>
    <col min="3076" max="3076" width="6.28515625" style="362" customWidth="1"/>
    <col min="3077" max="3077" width="9.140625" style="362"/>
    <col min="3078" max="3078" width="46.5703125" style="362" customWidth="1"/>
    <col min="3079" max="3082" width="16.85546875" style="362" customWidth="1"/>
    <col min="3083" max="3331" width="9.140625" style="362"/>
    <col min="3332" max="3332" width="6.28515625" style="362" customWidth="1"/>
    <col min="3333" max="3333" width="9.140625" style="362"/>
    <col min="3334" max="3334" width="46.5703125" style="362" customWidth="1"/>
    <col min="3335" max="3338" width="16.85546875" style="362" customWidth="1"/>
    <col min="3339" max="3587" width="9.140625" style="362"/>
    <col min="3588" max="3588" width="6.28515625" style="362" customWidth="1"/>
    <col min="3589" max="3589" width="9.140625" style="362"/>
    <col min="3590" max="3590" width="46.5703125" style="362" customWidth="1"/>
    <col min="3591" max="3594" width="16.85546875" style="362" customWidth="1"/>
    <col min="3595" max="3843" width="9.140625" style="362"/>
    <col min="3844" max="3844" width="6.28515625" style="362" customWidth="1"/>
    <col min="3845" max="3845" width="9.140625" style="362"/>
    <col min="3846" max="3846" width="46.5703125" style="362" customWidth="1"/>
    <col min="3847" max="3850" width="16.85546875" style="362" customWidth="1"/>
    <col min="3851" max="4099" width="9.140625" style="362"/>
    <col min="4100" max="4100" width="6.28515625" style="362" customWidth="1"/>
    <col min="4101" max="4101" width="9.140625" style="362"/>
    <col min="4102" max="4102" width="46.5703125" style="362" customWidth="1"/>
    <col min="4103" max="4106" width="16.85546875" style="362" customWidth="1"/>
    <col min="4107" max="4355" width="9.140625" style="362"/>
    <col min="4356" max="4356" width="6.28515625" style="362" customWidth="1"/>
    <col min="4357" max="4357" width="9.140625" style="362"/>
    <col min="4358" max="4358" width="46.5703125" style="362" customWidth="1"/>
    <col min="4359" max="4362" width="16.85546875" style="362" customWidth="1"/>
    <col min="4363" max="4611" width="9.140625" style="362"/>
    <col min="4612" max="4612" width="6.28515625" style="362" customWidth="1"/>
    <col min="4613" max="4613" width="9.140625" style="362"/>
    <col min="4614" max="4614" width="46.5703125" style="362" customWidth="1"/>
    <col min="4615" max="4618" width="16.85546875" style="362" customWidth="1"/>
    <col min="4619" max="4867" width="9.140625" style="362"/>
    <col min="4868" max="4868" width="6.28515625" style="362" customWidth="1"/>
    <col min="4869" max="4869" width="9.140625" style="362"/>
    <col min="4870" max="4870" width="46.5703125" style="362" customWidth="1"/>
    <col min="4871" max="4874" width="16.85546875" style="362" customWidth="1"/>
    <col min="4875" max="5123" width="9.140625" style="362"/>
    <col min="5124" max="5124" width="6.28515625" style="362" customWidth="1"/>
    <col min="5125" max="5125" width="9.140625" style="362"/>
    <col min="5126" max="5126" width="46.5703125" style="362" customWidth="1"/>
    <col min="5127" max="5130" width="16.85546875" style="362" customWidth="1"/>
    <col min="5131" max="5379" width="9.140625" style="362"/>
    <col min="5380" max="5380" width="6.28515625" style="362" customWidth="1"/>
    <col min="5381" max="5381" width="9.140625" style="362"/>
    <col min="5382" max="5382" width="46.5703125" style="362" customWidth="1"/>
    <col min="5383" max="5386" width="16.85546875" style="362" customWidth="1"/>
    <col min="5387" max="5635" width="9.140625" style="362"/>
    <col min="5636" max="5636" width="6.28515625" style="362" customWidth="1"/>
    <col min="5637" max="5637" width="9.140625" style="362"/>
    <col min="5638" max="5638" width="46.5703125" style="362" customWidth="1"/>
    <col min="5639" max="5642" width="16.85546875" style="362" customWidth="1"/>
    <col min="5643" max="5891" width="9.140625" style="362"/>
    <col min="5892" max="5892" width="6.28515625" style="362" customWidth="1"/>
    <col min="5893" max="5893" width="9.140625" style="362"/>
    <col min="5894" max="5894" width="46.5703125" style="362" customWidth="1"/>
    <col min="5895" max="5898" width="16.85546875" style="362" customWidth="1"/>
    <col min="5899" max="6147" width="9.140625" style="362"/>
    <col min="6148" max="6148" width="6.28515625" style="362" customWidth="1"/>
    <col min="6149" max="6149" width="9.140625" style="362"/>
    <col min="6150" max="6150" width="46.5703125" style="362" customWidth="1"/>
    <col min="6151" max="6154" width="16.85546875" style="362" customWidth="1"/>
    <col min="6155" max="6403" width="9.140625" style="362"/>
    <col min="6404" max="6404" width="6.28515625" style="362" customWidth="1"/>
    <col min="6405" max="6405" width="9.140625" style="362"/>
    <col min="6406" max="6406" width="46.5703125" style="362" customWidth="1"/>
    <col min="6407" max="6410" width="16.85546875" style="362" customWidth="1"/>
    <col min="6411" max="6659" width="9.140625" style="362"/>
    <col min="6660" max="6660" width="6.28515625" style="362" customWidth="1"/>
    <col min="6661" max="6661" width="9.140625" style="362"/>
    <col min="6662" max="6662" width="46.5703125" style="362" customWidth="1"/>
    <col min="6663" max="6666" width="16.85546875" style="362" customWidth="1"/>
    <col min="6667" max="6915" width="9.140625" style="362"/>
    <col min="6916" max="6916" width="6.28515625" style="362" customWidth="1"/>
    <col min="6917" max="6917" width="9.140625" style="362"/>
    <col min="6918" max="6918" width="46.5703125" style="362" customWidth="1"/>
    <col min="6919" max="6922" width="16.85546875" style="362" customWidth="1"/>
    <col min="6923" max="7171" width="9.140625" style="362"/>
    <col min="7172" max="7172" width="6.28515625" style="362" customWidth="1"/>
    <col min="7173" max="7173" width="9.140625" style="362"/>
    <col min="7174" max="7174" width="46.5703125" style="362" customWidth="1"/>
    <col min="7175" max="7178" width="16.85546875" style="362" customWidth="1"/>
    <col min="7179" max="7427" width="9.140625" style="362"/>
    <col min="7428" max="7428" width="6.28515625" style="362" customWidth="1"/>
    <col min="7429" max="7429" width="9.140625" style="362"/>
    <col min="7430" max="7430" width="46.5703125" style="362" customWidth="1"/>
    <col min="7431" max="7434" width="16.85546875" style="362" customWidth="1"/>
    <col min="7435" max="7683" width="9.140625" style="362"/>
    <col min="7684" max="7684" width="6.28515625" style="362" customWidth="1"/>
    <col min="7685" max="7685" width="9.140625" style="362"/>
    <col min="7686" max="7686" width="46.5703125" style="362" customWidth="1"/>
    <col min="7687" max="7690" width="16.85546875" style="362" customWidth="1"/>
    <col min="7691" max="7939" width="9.140625" style="362"/>
    <col min="7940" max="7940" width="6.28515625" style="362" customWidth="1"/>
    <col min="7941" max="7941" width="9.140625" style="362"/>
    <col min="7942" max="7942" width="46.5703125" style="362" customWidth="1"/>
    <col min="7943" max="7946" width="16.85546875" style="362" customWidth="1"/>
    <col min="7947" max="8195" width="9.140625" style="362"/>
    <col min="8196" max="8196" width="6.28515625" style="362" customWidth="1"/>
    <col min="8197" max="8197" width="9.140625" style="362"/>
    <col min="8198" max="8198" width="46.5703125" style="362" customWidth="1"/>
    <col min="8199" max="8202" width="16.85546875" style="362" customWidth="1"/>
    <col min="8203" max="8451" width="9.140625" style="362"/>
    <col min="8452" max="8452" width="6.28515625" style="362" customWidth="1"/>
    <col min="8453" max="8453" width="9.140625" style="362"/>
    <col min="8454" max="8454" width="46.5703125" style="362" customWidth="1"/>
    <col min="8455" max="8458" width="16.85546875" style="362" customWidth="1"/>
    <col min="8459" max="8707" width="9.140625" style="362"/>
    <col min="8708" max="8708" width="6.28515625" style="362" customWidth="1"/>
    <col min="8709" max="8709" width="9.140625" style="362"/>
    <col min="8710" max="8710" width="46.5703125" style="362" customWidth="1"/>
    <col min="8711" max="8714" width="16.85546875" style="362" customWidth="1"/>
    <col min="8715" max="8963" width="9.140625" style="362"/>
    <col min="8964" max="8964" width="6.28515625" style="362" customWidth="1"/>
    <col min="8965" max="8965" width="9.140625" style="362"/>
    <col min="8966" max="8966" width="46.5703125" style="362" customWidth="1"/>
    <col min="8967" max="8970" width="16.85546875" style="362" customWidth="1"/>
    <col min="8971" max="9219" width="9.140625" style="362"/>
    <col min="9220" max="9220" width="6.28515625" style="362" customWidth="1"/>
    <col min="9221" max="9221" width="9.140625" style="362"/>
    <col min="9222" max="9222" width="46.5703125" style="362" customWidth="1"/>
    <col min="9223" max="9226" width="16.85546875" style="362" customWidth="1"/>
    <col min="9227" max="9475" width="9.140625" style="362"/>
    <col min="9476" max="9476" width="6.28515625" style="362" customWidth="1"/>
    <col min="9477" max="9477" width="9.140625" style="362"/>
    <col min="9478" max="9478" width="46.5703125" style="362" customWidth="1"/>
    <col min="9479" max="9482" width="16.85546875" style="362" customWidth="1"/>
    <col min="9483" max="9731" width="9.140625" style="362"/>
    <col min="9732" max="9732" width="6.28515625" style="362" customWidth="1"/>
    <col min="9733" max="9733" width="9.140625" style="362"/>
    <col min="9734" max="9734" width="46.5703125" style="362" customWidth="1"/>
    <col min="9735" max="9738" width="16.85546875" style="362" customWidth="1"/>
    <col min="9739" max="9987" width="9.140625" style="362"/>
    <col min="9988" max="9988" width="6.28515625" style="362" customWidth="1"/>
    <col min="9989" max="9989" width="9.140625" style="362"/>
    <col min="9990" max="9990" width="46.5703125" style="362" customWidth="1"/>
    <col min="9991" max="9994" width="16.85546875" style="362" customWidth="1"/>
    <col min="9995" max="10243" width="9.140625" style="362"/>
    <col min="10244" max="10244" width="6.28515625" style="362" customWidth="1"/>
    <col min="10245" max="10245" width="9.140625" style="362"/>
    <col min="10246" max="10246" width="46.5703125" style="362" customWidth="1"/>
    <col min="10247" max="10250" width="16.85546875" style="362" customWidth="1"/>
    <col min="10251" max="10499" width="9.140625" style="362"/>
    <col min="10500" max="10500" width="6.28515625" style="362" customWidth="1"/>
    <col min="10501" max="10501" width="9.140625" style="362"/>
    <col min="10502" max="10502" width="46.5703125" style="362" customWidth="1"/>
    <col min="10503" max="10506" width="16.85546875" style="362" customWidth="1"/>
    <col min="10507" max="10755" width="9.140625" style="362"/>
    <col min="10756" max="10756" width="6.28515625" style="362" customWidth="1"/>
    <col min="10757" max="10757" width="9.140625" style="362"/>
    <col min="10758" max="10758" width="46.5703125" style="362" customWidth="1"/>
    <col min="10759" max="10762" width="16.85546875" style="362" customWidth="1"/>
    <col min="10763" max="11011" width="9.140625" style="362"/>
    <col min="11012" max="11012" width="6.28515625" style="362" customWidth="1"/>
    <col min="11013" max="11013" width="9.140625" style="362"/>
    <col min="11014" max="11014" width="46.5703125" style="362" customWidth="1"/>
    <col min="11015" max="11018" width="16.85546875" style="362" customWidth="1"/>
    <col min="11019" max="11267" width="9.140625" style="362"/>
    <col min="11268" max="11268" width="6.28515625" style="362" customWidth="1"/>
    <col min="11269" max="11269" width="9.140625" style="362"/>
    <col min="11270" max="11270" width="46.5703125" style="362" customWidth="1"/>
    <col min="11271" max="11274" width="16.85546875" style="362" customWidth="1"/>
    <col min="11275" max="11523" width="9.140625" style="362"/>
    <col min="11524" max="11524" width="6.28515625" style="362" customWidth="1"/>
    <col min="11525" max="11525" width="9.140625" style="362"/>
    <col min="11526" max="11526" width="46.5703125" style="362" customWidth="1"/>
    <col min="11527" max="11530" width="16.85546875" style="362" customWidth="1"/>
    <col min="11531" max="11779" width="9.140625" style="362"/>
    <col min="11780" max="11780" width="6.28515625" style="362" customWidth="1"/>
    <col min="11781" max="11781" width="9.140625" style="362"/>
    <col min="11782" max="11782" width="46.5703125" style="362" customWidth="1"/>
    <col min="11783" max="11786" width="16.85546875" style="362" customWidth="1"/>
    <col min="11787" max="12035" width="9.140625" style="362"/>
    <col min="12036" max="12036" width="6.28515625" style="362" customWidth="1"/>
    <col min="12037" max="12037" width="9.140625" style="362"/>
    <col min="12038" max="12038" width="46.5703125" style="362" customWidth="1"/>
    <col min="12039" max="12042" width="16.85546875" style="362" customWidth="1"/>
    <col min="12043" max="12291" width="9.140625" style="362"/>
    <col min="12292" max="12292" width="6.28515625" style="362" customWidth="1"/>
    <col min="12293" max="12293" width="9.140625" style="362"/>
    <col min="12294" max="12294" width="46.5703125" style="362" customWidth="1"/>
    <col min="12295" max="12298" width="16.85546875" style="362" customWidth="1"/>
    <col min="12299" max="12547" width="9.140625" style="362"/>
    <col min="12548" max="12548" width="6.28515625" style="362" customWidth="1"/>
    <col min="12549" max="12549" width="9.140625" style="362"/>
    <col min="12550" max="12550" width="46.5703125" style="362" customWidth="1"/>
    <col min="12551" max="12554" width="16.85546875" style="362" customWidth="1"/>
    <col min="12555" max="12803" width="9.140625" style="362"/>
    <col min="12804" max="12804" width="6.28515625" style="362" customWidth="1"/>
    <col min="12805" max="12805" width="9.140625" style="362"/>
    <col min="12806" max="12806" width="46.5703125" style="362" customWidth="1"/>
    <col min="12807" max="12810" width="16.85546875" style="362" customWidth="1"/>
    <col min="12811" max="13059" width="9.140625" style="362"/>
    <col min="13060" max="13060" width="6.28515625" style="362" customWidth="1"/>
    <col min="13061" max="13061" width="9.140625" style="362"/>
    <col min="13062" max="13062" width="46.5703125" style="362" customWidth="1"/>
    <col min="13063" max="13066" width="16.85546875" style="362" customWidth="1"/>
    <col min="13067" max="13315" width="9.140625" style="362"/>
    <col min="13316" max="13316" width="6.28515625" style="362" customWidth="1"/>
    <col min="13317" max="13317" width="9.140625" style="362"/>
    <col min="13318" max="13318" width="46.5703125" style="362" customWidth="1"/>
    <col min="13319" max="13322" width="16.85546875" style="362" customWidth="1"/>
    <col min="13323" max="13571" width="9.140625" style="362"/>
    <col min="13572" max="13572" width="6.28515625" style="362" customWidth="1"/>
    <col min="13573" max="13573" width="9.140625" style="362"/>
    <col min="13574" max="13574" width="46.5703125" style="362" customWidth="1"/>
    <col min="13575" max="13578" width="16.85546875" style="362" customWidth="1"/>
    <col min="13579" max="13827" width="9.140625" style="362"/>
    <col min="13828" max="13828" width="6.28515625" style="362" customWidth="1"/>
    <col min="13829" max="13829" width="9.140625" style="362"/>
    <col min="13830" max="13830" width="46.5703125" style="362" customWidth="1"/>
    <col min="13831" max="13834" width="16.85546875" style="362" customWidth="1"/>
    <col min="13835" max="14083" width="9.140625" style="362"/>
    <col min="14084" max="14084" width="6.28515625" style="362" customWidth="1"/>
    <col min="14085" max="14085" width="9.140625" style="362"/>
    <col min="14086" max="14086" width="46.5703125" style="362" customWidth="1"/>
    <col min="14087" max="14090" width="16.85546875" style="362" customWidth="1"/>
    <col min="14091" max="14339" width="9.140625" style="362"/>
    <col min="14340" max="14340" width="6.28515625" style="362" customWidth="1"/>
    <col min="14341" max="14341" width="9.140625" style="362"/>
    <col min="14342" max="14342" width="46.5703125" style="362" customWidth="1"/>
    <col min="14343" max="14346" width="16.85546875" style="362" customWidth="1"/>
    <col min="14347" max="14595" width="9.140625" style="362"/>
    <col min="14596" max="14596" width="6.28515625" style="362" customWidth="1"/>
    <col min="14597" max="14597" width="9.140625" style="362"/>
    <col min="14598" max="14598" width="46.5703125" style="362" customWidth="1"/>
    <col min="14599" max="14602" width="16.85546875" style="362" customWidth="1"/>
    <col min="14603" max="14851" width="9.140625" style="362"/>
    <col min="14852" max="14852" width="6.28515625" style="362" customWidth="1"/>
    <col min="14853" max="14853" width="9.140625" style="362"/>
    <col min="14854" max="14854" width="46.5703125" style="362" customWidth="1"/>
    <col min="14855" max="14858" width="16.85546875" style="362" customWidth="1"/>
    <col min="14859" max="15107" width="9.140625" style="362"/>
    <col min="15108" max="15108" width="6.28515625" style="362" customWidth="1"/>
    <col min="15109" max="15109" width="9.140625" style="362"/>
    <col min="15110" max="15110" width="46.5703125" style="362" customWidth="1"/>
    <col min="15111" max="15114" width="16.85546875" style="362" customWidth="1"/>
    <col min="15115" max="15363" width="9.140625" style="362"/>
    <col min="15364" max="15364" width="6.28515625" style="362" customWidth="1"/>
    <col min="15365" max="15365" width="9.140625" style="362"/>
    <col min="15366" max="15366" width="46.5703125" style="362" customWidth="1"/>
    <col min="15367" max="15370" width="16.85546875" style="362" customWidth="1"/>
    <col min="15371" max="15619" width="9.140625" style="362"/>
    <col min="15620" max="15620" width="6.28515625" style="362" customWidth="1"/>
    <col min="15621" max="15621" width="9.140625" style="362"/>
    <col min="15622" max="15622" width="46.5703125" style="362" customWidth="1"/>
    <col min="15623" max="15626" width="16.85546875" style="362" customWidth="1"/>
    <col min="15627" max="15875" width="9.140625" style="362"/>
    <col min="15876" max="15876" width="6.28515625" style="362" customWidth="1"/>
    <col min="15877" max="15877" width="9.140625" style="362"/>
    <col min="15878" max="15878" width="46.5703125" style="362" customWidth="1"/>
    <col min="15879" max="15882" width="16.85546875" style="362" customWidth="1"/>
    <col min="15883" max="16131" width="9.140625" style="362"/>
    <col min="16132" max="16132" width="6.28515625" style="362" customWidth="1"/>
    <col min="16133" max="16133" width="9.140625" style="362"/>
    <col min="16134" max="16134" width="46.5703125" style="362" customWidth="1"/>
    <col min="16135" max="16138" width="16.85546875" style="362" customWidth="1"/>
    <col min="16139" max="16384" width="9.140625" style="362"/>
  </cols>
  <sheetData>
    <row r="1" spans="1:11" x14ac:dyDescent="0.2">
      <c r="A1" s="360"/>
      <c r="B1" s="360"/>
      <c r="C1" s="360"/>
      <c r="D1" s="361"/>
      <c r="E1" s="361"/>
      <c r="F1" s="361"/>
      <c r="G1" s="361"/>
      <c r="H1" s="361"/>
      <c r="I1" s="361"/>
      <c r="J1" s="361"/>
      <c r="K1" s="383" t="s">
        <v>285</v>
      </c>
    </row>
    <row r="2" spans="1:11" x14ac:dyDescent="0.2">
      <c r="A2" s="360"/>
      <c r="B2" s="360"/>
      <c r="C2" s="360"/>
      <c r="D2" s="361"/>
      <c r="E2" s="361"/>
      <c r="F2" s="361"/>
      <c r="G2" s="361"/>
      <c r="H2" s="361"/>
      <c r="I2" s="361"/>
      <c r="J2" s="361"/>
      <c r="K2" s="363"/>
    </row>
    <row r="3" spans="1:11" ht="36.6" customHeight="1" x14ac:dyDescent="0.2">
      <c r="A3" s="558" t="s">
        <v>433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</row>
    <row r="4" spans="1:11" ht="26.25" customHeight="1" x14ac:dyDescent="0.2">
      <c r="A4" s="559" t="s">
        <v>2</v>
      </c>
      <c r="B4" s="559" t="s">
        <v>68</v>
      </c>
      <c r="C4" s="559" t="s">
        <v>261</v>
      </c>
      <c r="D4" s="552" t="s">
        <v>211</v>
      </c>
      <c r="E4" s="553"/>
      <c r="F4" s="554"/>
      <c r="G4" s="552" t="s">
        <v>223</v>
      </c>
      <c r="H4" s="553"/>
      <c r="I4" s="554"/>
      <c r="J4" s="552" t="s">
        <v>13</v>
      </c>
      <c r="K4" s="554"/>
    </row>
    <row r="5" spans="1:11" ht="30" customHeight="1" x14ac:dyDescent="0.2">
      <c r="A5" s="560"/>
      <c r="B5" s="560"/>
      <c r="C5" s="560"/>
      <c r="D5" s="555"/>
      <c r="E5" s="556"/>
      <c r="F5" s="557"/>
      <c r="G5" s="555"/>
      <c r="H5" s="556"/>
      <c r="I5" s="557"/>
      <c r="J5" s="364" t="s">
        <v>264</v>
      </c>
      <c r="K5" s="364" t="s">
        <v>265</v>
      </c>
    </row>
    <row r="6" spans="1:11" ht="18.75" customHeight="1" x14ac:dyDescent="0.2">
      <c r="A6" s="380"/>
      <c r="B6" s="380"/>
      <c r="C6" s="380"/>
      <c r="D6" s="382" t="s">
        <v>5</v>
      </c>
      <c r="E6" s="382" t="s">
        <v>6</v>
      </c>
      <c r="F6" s="382" t="s">
        <v>219</v>
      </c>
      <c r="G6" s="382" t="s">
        <v>5</v>
      </c>
      <c r="H6" s="382" t="s">
        <v>6</v>
      </c>
      <c r="I6" s="382" t="s">
        <v>219</v>
      </c>
      <c r="J6" s="381"/>
      <c r="K6" s="381"/>
    </row>
    <row r="7" spans="1:11" ht="23.25" customHeight="1" x14ac:dyDescent="0.2">
      <c r="A7" s="365">
        <v>801</v>
      </c>
      <c r="B7" s="372"/>
      <c r="C7" s="366" t="s">
        <v>54</v>
      </c>
      <c r="D7" s="398">
        <f>D8+D9+D10</f>
        <v>110000</v>
      </c>
      <c r="E7" s="398">
        <f>E8+E9+E10</f>
        <v>110000</v>
      </c>
      <c r="F7" s="367">
        <f>E7/D7*100</f>
        <v>100</v>
      </c>
      <c r="G7" s="398">
        <f>G8+G9+G10</f>
        <v>110000</v>
      </c>
      <c r="H7" s="367">
        <f>H8+H9+H10</f>
        <v>110000</v>
      </c>
      <c r="I7" s="367">
        <f>H7/G7*100</f>
        <v>100</v>
      </c>
      <c r="J7" s="398">
        <f>J8+J9+J10</f>
        <v>110000</v>
      </c>
      <c r="K7" s="367">
        <v>0</v>
      </c>
    </row>
    <row r="8" spans="1:11" ht="40.5" customHeight="1" x14ac:dyDescent="0.2">
      <c r="A8" s="373"/>
      <c r="B8" s="374">
        <v>80195</v>
      </c>
      <c r="C8" s="375" t="s">
        <v>434</v>
      </c>
      <c r="D8" s="397">
        <f>95650-10650</f>
        <v>85000</v>
      </c>
      <c r="E8" s="397">
        <v>85000</v>
      </c>
      <c r="F8" s="370">
        <f t="shared" ref="F8:F11" si="0">E8/D8*100</f>
        <v>100</v>
      </c>
      <c r="G8" s="397">
        <v>85000</v>
      </c>
      <c r="H8" s="397">
        <v>85000</v>
      </c>
      <c r="I8" s="370">
        <f t="shared" ref="I8:I11" si="1">H8/G8*100</f>
        <v>100</v>
      </c>
      <c r="J8" s="397">
        <f>H8</f>
        <v>85000</v>
      </c>
      <c r="K8" s="376">
        <v>0</v>
      </c>
    </row>
    <row r="9" spans="1:11" ht="40.5" customHeight="1" x14ac:dyDescent="0.2">
      <c r="A9" s="373"/>
      <c r="B9" s="374">
        <v>80195</v>
      </c>
      <c r="C9" s="375" t="s">
        <v>454</v>
      </c>
      <c r="D9" s="397">
        <f>27350-12350</f>
        <v>15000</v>
      </c>
      <c r="E9" s="397">
        <v>15000</v>
      </c>
      <c r="F9" s="370">
        <v>100</v>
      </c>
      <c r="G9" s="397">
        <v>15000</v>
      </c>
      <c r="H9" s="397">
        <v>15000</v>
      </c>
      <c r="I9" s="370">
        <v>100</v>
      </c>
      <c r="J9" s="397">
        <v>15000</v>
      </c>
      <c r="K9" s="376">
        <v>0</v>
      </c>
    </row>
    <row r="10" spans="1:11" ht="40.5" customHeight="1" x14ac:dyDescent="0.2">
      <c r="A10" s="373"/>
      <c r="B10" s="374">
        <v>80195</v>
      </c>
      <c r="C10" s="375" t="s">
        <v>455</v>
      </c>
      <c r="D10" s="397">
        <f>12500-2500</f>
        <v>10000</v>
      </c>
      <c r="E10" s="397">
        <v>10000</v>
      </c>
      <c r="F10" s="370">
        <v>100</v>
      </c>
      <c r="G10" s="397">
        <v>10000</v>
      </c>
      <c r="H10" s="397">
        <v>10000</v>
      </c>
      <c r="I10" s="370">
        <v>100</v>
      </c>
      <c r="J10" s="397">
        <v>10000</v>
      </c>
      <c r="K10" s="376">
        <v>0</v>
      </c>
    </row>
    <row r="11" spans="1:11" ht="41.25" customHeight="1" x14ac:dyDescent="0.2">
      <c r="A11" s="377"/>
      <c r="B11" s="378"/>
      <c r="C11" s="379" t="s">
        <v>4</v>
      </c>
      <c r="D11" s="398">
        <f>D7</f>
        <v>110000</v>
      </c>
      <c r="E11" s="398">
        <f>E7</f>
        <v>110000</v>
      </c>
      <c r="F11" s="367">
        <f t="shared" si="0"/>
        <v>100</v>
      </c>
      <c r="G11" s="398">
        <f>G7</f>
        <v>110000</v>
      </c>
      <c r="H11" s="398">
        <f>H7</f>
        <v>110000</v>
      </c>
      <c r="I11" s="367">
        <f t="shared" si="1"/>
        <v>100</v>
      </c>
      <c r="J11" s="398">
        <f>J7</f>
        <v>110000</v>
      </c>
      <c r="K11" s="367">
        <v>0</v>
      </c>
    </row>
  </sheetData>
  <mergeCells count="7">
    <mergeCell ref="A3:K3"/>
    <mergeCell ref="A4:A5"/>
    <mergeCell ref="B4:B5"/>
    <mergeCell ref="C4:C5"/>
    <mergeCell ref="D4:F5"/>
    <mergeCell ref="G4:I5"/>
    <mergeCell ref="J4:K4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A19" zoomScaleNormal="100" workbookViewId="0">
      <selection activeCell="K18" sqref="K18"/>
    </sheetView>
  </sheetViews>
  <sheetFormatPr defaultRowHeight="15" x14ac:dyDescent="0.25"/>
  <cols>
    <col min="1" max="1" width="4" customWidth="1"/>
    <col min="2" max="2" width="5.85546875" customWidth="1"/>
    <col min="3" max="3" width="8.42578125" customWidth="1"/>
    <col min="4" max="4" width="66.28515625" customWidth="1"/>
    <col min="5" max="5" width="11.85546875" customWidth="1"/>
    <col min="6" max="6" width="13.7109375" style="22" customWidth="1"/>
    <col min="7" max="7" width="12.28515625" customWidth="1"/>
    <col min="8" max="8" width="11.7109375" customWidth="1"/>
    <col min="9" max="9" width="9.28515625" customWidth="1"/>
    <col min="10" max="10" width="12.28515625" customWidth="1"/>
    <col min="11" max="12" width="11.85546875" customWidth="1"/>
    <col min="13" max="13" width="14.28515625" customWidth="1"/>
    <col min="257" max="257" width="5" customWidth="1"/>
    <col min="258" max="258" width="5.85546875" customWidth="1"/>
    <col min="259" max="259" width="8.42578125" customWidth="1"/>
    <col min="260" max="260" width="85.28515625" customWidth="1"/>
    <col min="261" max="263" width="11.85546875" customWidth="1"/>
    <col min="264" max="264" width="9.7109375" customWidth="1"/>
    <col min="265" max="265" width="10.28515625" customWidth="1"/>
    <col min="266" max="266" width="13" customWidth="1"/>
    <col min="267" max="268" width="11.85546875" customWidth="1"/>
    <col min="269" max="269" width="14.28515625" customWidth="1"/>
    <col min="513" max="513" width="5" customWidth="1"/>
    <col min="514" max="514" width="5.85546875" customWidth="1"/>
    <col min="515" max="515" width="8.42578125" customWidth="1"/>
    <col min="516" max="516" width="85.28515625" customWidth="1"/>
    <col min="517" max="519" width="11.85546875" customWidth="1"/>
    <col min="520" max="520" width="9.7109375" customWidth="1"/>
    <col min="521" max="521" width="10.28515625" customWidth="1"/>
    <col min="522" max="522" width="13" customWidth="1"/>
    <col min="523" max="524" width="11.85546875" customWidth="1"/>
    <col min="525" max="525" width="14.28515625" customWidth="1"/>
    <col min="769" max="769" width="5" customWidth="1"/>
    <col min="770" max="770" width="5.85546875" customWidth="1"/>
    <col min="771" max="771" width="8.42578125" customWidth="1"/>
    <col min="772" max="772" width="85.28515625" customWidth="1"/>
    <col min="773" max="775" width="11.85546875" customWidth="1"/>
    <col min="776" max="776" width="9.7109375" customWidth="1"/>
    <col min="777" max="777" width="10.28515625" customWidth="1"/>
    <col min="778" max="778" width="13" customWidth="1"/>
    <col min="779" max="780" width="11.85546875" customWidth="1"/>
    <col min="781" max="781" width="14.28515625" customWidth="1"/>
    <col min="1025" max="1025" width="5" customWidth="1"/>
    <col min="1026" max="1026" width="5.85546875" customWidth="1"/>
    <col min="1027" max="1027" width="8.42578125" customWidth="1"/>
    <col min="1028" max="1028" width="85.28515625" customWidth="1"/>
    <col min="1029" max="1031" width="11.85546875" customWidth="1"/>
    <col min="1032" max="1032" width="9.7109375" customWidth="1"/>
    <col min="1033" max="1033" width="10.28515625" customWidth="1"/>
    <col min="1034" max="1034" width="13" customWidth="1"/>
    <col min="1035" max="1036" width="11.85546875" customWidth="1"/>
    <col min="1037" max="1037" width="14.28515625" customWidth="1"/>
    <col min="1281" max="1281" width="5" customWidth="1"/>
    <col min="1282" max="1282" width="5.85546875" customWidth="1"/>
    <col min="1283" max="1283" width="8.42578125" customWidth="1"/>
    <col min="1284" max="1284" width="85.28515625" customWidth="1"/>
    <col min="1285" max="1287" width="11.85546875" customWidth="1"/>
    <col min="1288" max="1288" width="9.7109375" customWidth="1"/>
    <col min="1289" max="1289" width="10.28515625" customWidth="1"/>
    <col min="1290" max="1290" width="13" customWidth="1"/>
    <col min="1291" max="1292" width="11.85546875" customWidth="1"/>
    <col min="1293" max="1293" width="14.28515625" customWidth="1"/>
    <col min="1537" max="1537" width="5" customWidth="1"/>
    <col min="1538" max="1538" width="5.85546875" customWidth="1"/>
    <col min="1539" max="1539" width="8.42578125" customWidth="1"/>
    <col min="1540" max="1540" width="85.28515625" customWidth="1"/>
    <col min="1541" max="1543" width="11.85546875" customWidth="1"/>
    <col min="1544" max="1544" width="9.7109375" customWidth="1"/>
    <col min="1545" max="1545" width="10.28515625" customWidth="1"/>
    <col min="1546" max="1546" width="13" customWidth="1"/>
    <col min="1547" max="1548" width="11.85546875" customWidth="1"/>
    <col min="1549" max="1549" width="14.28515625" customWidth="1"/>
    <col min="1793" max="1793" width="5" customWidth="1"/>
    <col min="1794" max="1794" width="5.85546875" customWidth="1"/>
    <col min="1795" max="1795" width="8.42578125" customWidth="1"/>
    <col min="1796" max="1796" width="85.28515625" customWidth="1"/>
    <col min="1797" max="1799" width="11.85546875" customWidth="1"/>
    <col min="1800" max="1800" width="9.7109375" customWidth="1"/>
    <col min="1801" max="1801" width="10.28515625" customWidth="1"/>
    <col min="1802" max="1802" width="13" customWidth="1"/>
    <col min="1803" max="1804" width="11.85546875" customWidth="1"/>
    <col min="1805" max="1805" width="14.28515625" customWidth="1"/>
    <col min="2049" max="2049" width="5" customWidth="1"/>
    <col min="2050" max="2050" width="5.85546875" customWidth="1"/>
    <col min="2051" max="2051" width="8.42578125" customWidth="1"/>
    <col min="2052" max="2052" width="85.28515625" customWidth="1"/>
    <col min="2053" max="2055" width="11.85546875" customWidth="1"/>
    <col min="2056" max="2056" width="9.7109375" customWidth="1"/>
    <col min="2057" max="2057" width="10.28515625" customWidth="1"/>
    <col min="2058" max="2058" width="13" customWidth="1"/>
    <col min="2059" max="2060" width="11.85546875" customWidth="1"/>
    <col min="2061" max="2061" width="14.28515625" customWidth="1"/>
    <col min="2305" max="2305" width="5" customWidth="1"/>
    <col min="2306" max="2306" width="5.85546875" customWidth="1"/>
    <col min="2307" max="2307" width="8.42578125" customWidth="1"/>
    <col min="2308" max="2308" width="85.28515625" customWidth="1"/>
    <col min="2309" max="2311" width="11.85546875" customWidth="1"/>
    <col min="2312" max="2312" width="9.7109375" customWidth="1"/>
    <col min="2313" max="2313" width="10.28515625" customWidth="1"/>
    <col min="2314" max="2314" width="13" customWidth="1"/>
    <col min="2315" max="2316" width="11.85546875" customWidth="1"/>
    <col min="2317" max="2317" width="14.28515625" customWidth="1"/>
    <col min="2561" max="2561" width="5" customWidth="1"/>
    <col min="2562" max="2562" width="5.85546875" customWidth="1"/>
    <col min="2563" max="2563" width="8.42578125" customWidth="1"/>
    <col min="2564" max="2564" width="85.28515625" customWidth="1"/>
    <col min="2565" max="2567" width="11.85546875" customWidth="1"/>
    <col min="2568" max="2568" width="9.7109375" customWidth="1"/>
    <col min="2569" max="2569" width="10.28515625" customWidth="1"/>
    <col min="2570" max="2570" width="13" customWidth="1"/>
    <col min="2571" max="2572" width="11.85546875" customWidth="1"/>
    <col min="2573" max="2573" width="14.28515625" customWidth="1"/>
    <col min="2817" max="2817" width="5" customWidth="1"/>
    <col min="2818" max="2818" width="5.85546875" customWidth="1"/>
    <col min="2819" max="2819" width="8.42578125" customWidth="1"/>
    <col min="2820" max="2820" width="85.28515625" customWidth="1"/>
    <col min="2821" max="2823" width="11.85546875" customWidth="1"/>
    <col min="2824" max="2824" width="9.7109375" customWidth="1"/>
    <col min="2825" max="2825" width="10.28515625" customWidth="1"/>
    <col min="2826" max="2826" width="13" customWidth="1"/>
    <col min="2827" max="2828" width="11.85546875" customWidth="1"/>
    <col min="2829" max="2829" width="14.28515625" customWidth="1"/>
    <col min="3073" max="3073" width="5" customWidth="1"/>
    <col min="3074" max="3074" width="5.85546875" customWidth="1"/>
    <col min="3075" max="3075" width="8.42578125" customWidth="1"/>
    <col min="3076" max="3076" width="85.28515625" customWidth="1"/>
    <col min="3077" max="3079" width="11.85546875" customWidth="1"/>
    <col min="3080" max="3080" width="9.7109375" customWidth="1"/>
    <col min="3081" max="3081" width="10.28515625" customWidth="1"/>
    <col min="3082" max="3082" width="13" customWidth="1"/>
    <col min="3083" max="3084" width="11.85546875" customWidth="1"/>
    <col min="3085" max="3085" width="14.28515625" customWidth="1"/>
    <col min="3329" max="3329" width="5" customWidth="1"/>
    <col min="3330" max="3330" width="5.85546875" customWidth="1"/>
    <col min="3331" max="3331" width="8.42578125" customWidth="1"/>
    <col min="3332" max="3332" width="85.28515625" customWidth="1"/>
    <col min="3333" max="3335" width="11.85546875" customWidth="1"/>
    <col min="3336" max="3336" width="9.7109375" customWidth="1"/>
    <col min="3337" max="3337" width="10.28515625" customWidth="1"/>
    <col min="3338" max="3338" width="13" customWidth="1"/>
    <col min="3339" max="3340" width="11.85546875" customWidth="1"/>
    <col min="3341" max="3341" width="14.28515625" customWidth="1"/>
    <col min="3585" max="3585" width="5" customWidth="1"/>
    <col min="3586" max="3586" width="5.85546875" customWidth="1"/>
    <col min="3587" max="3587" width="8.42578125" customWidth="1"/>
    <col min="3588" max="3588" width="85.28515625" customWidth="1"/>
    <col min="3589" max="3591" width="11.85546875" customWidth="1"/>
    <col min="3592" max="3592" width="9.7109375" customWidth="1"/>
    <col min="3593" max="3593" width="10.28515625" customWidth="1"/>
    <col min="3594" max="3594" width="13" customWidth="1"/>
    <col min="3595" max="3596" width="11.85546875" customWidth="1"/>
    <col min="3597" max="3597" width="14.28515625" customWidth="1"/>
    <col min="3841" max="3841" width="5" customWidth="1"/>
    <col min="3842" max="3842" width="5.85546875" customWidth="1"/>
    <col min="3843" max="3843" width="8.42578125" customWidth="1"/>
    <col min="3844" max="3844" width="85.28515625" customWidth="1"/>
    <col min="3845" max="3847" width="11.85546875" customWidth="1"/>
    <col min="3848" max="3848" width="9.7109375" customWidth="1"/>
    <col min="3849" max="3849" width="10.28515625" customWidth="1"/>
    <col min="3850" max="3850" width="13" customWidth="1"/>
    <col min="3851" max="3852" width="11.85546875" customWidth="1"/>
    <col min="3853" max="3853" width="14.28515625" customWidth="1"/>
    <col min="4097" max="4097" width="5" customWidth="1"/>
    <col min="4098" max="4098" width="5.85546875" customWidth="1"/>
    <col min="4099" max="4099" width="8.42578125" customWidth="1"/>
    <col min="4100" max="4100" width="85.28515625" customWidth="1"/>
    <col min="4101" max="4103" width="11.85546875" customWidth="1"/>
    <col min="4104" max="4104" width="9.7109375" customWidth="1"/>
    <col min="4105" max="4105" width="10.28515625" customWidth="1"/>
    <col min="4106" max="4106" width="13" customWidth="1"/>
    <col min="4107" max="4108" width="11.85546875" customWidth="1"/>
    <col min="4109" max="4109" width="14.28515625" customWidth="1"/>
    <col min="4353" max="4353" width="5" customWidth="1"/>
    <col min="4354" max="4354" width="5.85546875" customWidth="1"/>
    <col min="4355" max="4355" width="8.42578125" customWidth="1"/>
    <col min="4356" max="4356" width="85.28515625" customWidth="1"/>
    <col min="4357" max="4359" width="11.85546875" customWidth="1"/>
    <col min="4360" max="4360" width="9.7109375" customWidth="1"/>
    <col min="4361" max="4361" width="10.28515625" customWidth="1"/>
    <col min="4362" max="4362" width="13" customWidth="1"/>
    <col min="4363" max="4364" width="11.85546875" customWidth="1"/>
    <col min="4365" max="4365" width="14.28515625" customWidth="1"/>
    <col min="4609" max="4609" width="5" customWidth="1"/>
    <col min="4610" max="4610" width="5.85546875" customWidth="1"/>
    <col min="4611" max="4611" width="8.42578125" customWidth="1"/>
    <col min="4612" max="4612" width="85.28515625" customWidth="1"/>
    <col min="4613" max="4615" width="11.85546875" customWidth="1"/>
    <col min="4616" max="4616" width="9.7109375" customWidth="1"/>
    <col min="4617" max="4617" width="10.28515625" customWidth="1"/>
    <col min="4618" max="4618" width="13" customWidth="1"/>
    <col min="4619" max="4620" width="11.85546875" customWidth="1"/>
    <col min="4621" max="4621" width="14.28515625" customWidth="1"/>
    <col min="4865" max="4865" width="5" customWidth="1"/>
    <col min="4866" max="4866" width="5.85546875" customWidth="1"/>
    <col min="4867" max="4867" width="8.42578125" customWidth="1"/>
    <col min="4868" max="4868" width="85.28515625" customWidth="1"/>
    <col min="4869" max="4871" width="11.85546875" customWidth="1"/>
    <col min="4872" max="4872" width="9.7109375" customWidth="1"/>
    <col min="4873" max="4873" width="10.28515625" customWidth="1"/>
    <col min="4874" max="4874" width="13" customWidth="1"/>
    <col min="4875" max="4876" width="11.85546875" customWidth="1"/>
    <col min="4877" max="4877" width="14.28515625" customWidth="1"/>
    <col min="5121" max="5121" width="5" customWidth="1"/>
    <col min="5122" max="5122" width="5.85546875" customWidth="1"/>
    <col min="5123" max="5123" width="8.42578125" customWidth="1"/>
    <col min="5124" max="5124" width="85.28515625" customWidth="1"/>
    <col min="5125" max="5127" width="11.85546875" customWidth="1"/>
    <col min="5128" max="5128" width="9.7109375" customWidth="1"/>
    <col min="5129" max="5129" width="10.28515625" customWidth="1"/>
    <col min="5130" max="5130" width="13" customWidth="1"/>
    <col min="5131" max="5132" width="11.85546875" customWidth="1"/>
    <col min="5133" max="5133" width="14.28515625" customWidth="1"/>
    <col min="5377" max="5377" width="5" customWidth="1"/>
    <col min="5378" max="5378" width="5.85546875" customWidth="1"/>
    <col min="5379" max="5379" width="8.42578125" customWidth="1"/>
    <col min="5380" max="5380" width="85.28515625" customWidth="1"/>
    <col min="5381" max="5383" width="11.85546875" customWidth="1"/>
    <col min="5384" max="5384" width="9.7109375" customWidth="1"/>
    <col min="5385" max="5385" width="10.28515625" customWidth="1"/>
    <col min="5386" max="5386" width="13" customWidth="1"/>
    <col min="5387" max="5388" width="11.85546875" customWidth="1"/>
    <col min="5389" max="5389" width="14.28515625" customWidth="1"/>
    <col min="5633" max="5633" width="5" customWidth="1"/>
    <col min="5634" max="5634" width="5.85546875" customWidth="1"/>
    <col min="5635" max="5635" width="8.42578125" customWidth="1"/>
    <col min="5636" max="5636" width="85.28515625" customWidth="1"/>
    <col min="5637" max="5639" width="11.85546875" customWidth="1"/>
    <col min="5640" max="5640" width="9.7109375" customWidth="1"/>
    <col min="5641" max="5641" width="10.28515625" customWidth="1"/>
    <col min="5642" max="5642" width="13" customWidth="1"/>
    <col min="5643" max="5644" width="11.85546875" customWidth="1"/>
    <col min="5645" max="5645" width="14.28515625" customWidth="1"/>
    <col min="5889" max="5889" width="5" customWidth="1"/>
    <col min="5890" max="5890" width="5.85546875" customWidth="1"/>
    <col min="5891" max="5891" width="8.42578125" customWidth="1"/>
    <col min="5892" max="5892" width="85.28515625" customWidth="1"/>
    <col min="5893" max="5895" width="11.85546875" customWidth="1"/>
    <col min="5896" max="5896" width="9.7109375" customWidth="1"/>
    <col min="5897" max="5897" width="10.28515625" customWidth="1"/>
    <col min="5898" max="5898" width="13" customWidth="1"/>
    <col min="5899" max="5900" width="11.85546875" customWidth="1"/>
    <col min="5901" max="5901" width="14.28515625" customWidth="1"/>
    <col min="6145" max="6145" width="5" customWidth="1"/>
    <col min="6146" max="6146" width="5.85546875" customWidth="1"/>
    <col min="6147" max="6147" width="8.42578125" customWidth="1"/>
    <col min="6148" max="6148" width="85.28515625" customWidth="1"/>
    <col min="6149" max="6151" width="11.85546875" customWidth="1"/>
    <col min="6152" max="6152" width="9.7109375" customWidth="1"/>
    <col min="6153" max="6153" width="10.28515625" customWidth="1"/>
    <col min="6154" max="6154" width="13" customWidth="1"/>
    <col min="6155" max="6156" width="11.85546875" customWidth="1"/>
    <col min="6157" max="6157" width="14.28515625" customWidth="1"/>
    <col min="6401" max="6401" width="5" customWidth="1"/>
    <col min="6402" max="6402" width="5.85546875" customWidth="1"/>
    <col min="6403" max="6403" width="8.42578125" customWidth="1"/>
    <col min="6404" max="6404" width="85.28515625" customWidth="1"/>
    <col min="6405" max="6407" width="11.85546875" customWidth="1"/>
    <col min="6408" max="6408" width="9.7109375" customWidth="1"/>
    <col min="6409" max="6409" width="10.28515625" customWidth="1"/>
    <col min="6410" max="6410" width="13" customWidth="1"/>
    <col min="6411" max="6412" width="11.85546875" customWidth="1"/>
    <col min="6413" max="6413" width="14.28515625" customWidth="1"/>
    <col min="6657" max="6657" width="5" customWidth="1"/>
    <col min="6658" max="6658" width="5.85546875" customWidth="1"/>
    <col min="6659" max="6659" width="8.42578125" customWidth="1"/>
    <col min="6660" max="6660" width="85.28515625" customWidth="1"/>
    <col min="6661" max="6663" width="11.85546875" customWidth="1"/>
    <col min="6664" max="6664" width="9.7109375" customWidth="1"/>
    <col min="6665" max="6665" width="10.28515625" customWidth="1"/>
    <col min="6666" max="6666" width="13" customWidth="1"/>
    <col min="6667" max="6668" width="11.85546875" customWidth="1"/>
    <col min="6669" max="6669" width="14.28515625" customWidth="1"/>
    <col min="6913" max="6913" width="5" customWidth="1"/>
    <col min="6914" max="6914" width="5.85546875" customWidth="1"/>
    <col min="6915" max="6915" width="8.42578125" customWidth="1"/>
    <col min="6916" max="6916" width="85.28515625" customWidth="1"/>
    <col min="6917" max="6919" width="11.85546875" customWidth="1"/>
    <col min="6920" max="6920" width="9.7109375" customWidth="1"/>
    <col min="6921" max="6921" width="10.28515625" customWidth="1"/>
    <col min="6922" max="6922" width="13" customWidth="1"/>
    <col min="6923" max="6924" width="11.85546875" customWidth="1"/>
    <col min="6925" max="6925" width="14.28515625" customWidth="1"/>
    <col min="7169" max="7169" width="5" customWidth="1"/>
    <col min="7170" max="7170" width="5.85546875" customWidth="1"/>
    <col min="7171" max="7171" width="8.42578125" customWidth="1"/>
    <col min="7172" max="7172" width="85.28515625" customWidth="1"/>
    <col min="7173" max="7175" width="11.85546875" customWidth="1"/>
    <col min="7176" max="7176" width="9.7109375" customWidth="1"/>
    <col min="7177" max="7177" width="10.28515625" customWidth="1"/>
    <col min="7178" max="7178" width="13" customWidth="1"/>
    <col min="7179" max="7180" width="11.85546875" customWidth="1"/>
    <col min="7181" max="7181" width="14.28515625" customWidth="1"/>
    <col min="7425" max="7425" width="5" customWidth="1"/>
    <col min="7426" max="7426" width="5.85546875" customWidth="1"/>
    <col min="7427" max="7427" width="8.42578125" customWidth="1"/>
    <col min="7428" max="7428" width="85.28515625" customWidth="1"/>
    <col min="7429" max="7431" width="11.85546875" customWidth="1"/>
    <col min="7432" max="7432" width="9.7109375" customWidth="1"/>
    <col min="7433" max="7433" width="10.28515625" customWidth="1"/>
    <col min="7434" max="7434" width="13" customWidth="1"/>
    <col min="7435" max="7436" width="11.85546875" customWidth="1"/>
    <col min="7437" max="7437" width="14.28515625" customWidth="1"/>
    <col min="7681" max="7681" width="5" customWidth="1"/>
    <col min="7682" max="7682" width="5.85546875" customWidth="1"/>
    <col min="7683" max="7683" width="8.42578125" customWidth="1"/>
    <col min="7684" max="7684" width="85.28515625" customWidth="1"/>
    <col min="7685" max="7687" width="11.85546875" customWidth="1"/>
    <col min="7688" max="7688" width="9.7109375" customWidth="1"/>
    <col min="7689" max="7689" width="10.28515625" customWidth="1"/>
    <col min="7690" max="7690" width="13" customWidth="1"/>
    <col min="7691" max="7692" width="11.85546875" customWidth="1"/>
    <col min="7693" max="7693" width="14.28515625" customWidth="1"/>
    <col min="7937" max="7937" width="5" customWidth="1"/>
    <col min="7938" max="7938" width="5.85546875" customWidth="1"/>
    <col min="7939" max="7939" width="8.42578125" customWidth="1"/>
    <col min="7940" max="7940" width="85.28515625" customWidth="1"/>
    <col min="7941" max="7943" width="11.85546875" customWidth="1"/>
    <col min="7944" max="7944" width="9.7109375" customWidth="1"/>
    <col min="7945" max="7945" width="10.28515625" customWidth="1"/>
    <col min="7946" max="7946" width="13" customWidth="1"/>
    <col min="7947" max="7948" width="11.85546875" customWidth="1"/>
    <col min="7949" max="7949" width="14.28515625" customWidth="1"/>
    <col min="8193" max="8193" width="5" customWidth="1"/>
    <col min="8194" max="8194" width="5.85546875" customWidth="1"/>
    <col min="8195" max="8195" width="8.42578125" customWidth="1"/>
    <col min="8196" max="8196" width="85.28515625" customWidth="1"/>
    <col min="8197" max="8199" width="11.85546875" customWidth="1"/>
    <col min="8200" max="8200" width="9.7109375" customWidth="1"/>
    <col min="8201" max="8201" width="10.28515625" customWidth="1"/>
    <col min="8202" max="8202" width="13" customWidth="1"/>
    <col min="8203" max="8204" width="11.85546875" customWidth="1"/>
    <col min="8205" max="8205" width="14.28515625" customWidth="1"/>
    <col min="8449" max="8449" width="5" customWidth="1"/>
    <col min="8450" max="8450" width="5.85546875" customWidth="1"/>
    <col min="8451" max="8451" width="8.42578125" customWidth="1"/>
    <col min="8452" max="8452" width="85.28515625" customWidth="1"/>
    <col min="8453" max="8455" width="11.85546875" customWidth="1"/>
    <col min="8456" max="8456" width="9.7109375" customWidth="1"/>
    <col min="8457" max="8457" width="10.28515625" customWidth="1"/>
    <col min="8458" max="8458" width="13" customWidth="1"/>
    <col min="8459" max="8460" width="11.85546875" customWidth="1"/>
    <col min="8461" max="8461" width="14.28515625" customWidth="1"/>
    <col min="8705" max="8705" width="5" customWidth="1"/>
    <col min="8706" max="8706" width="5.85546875" customWidth="1"/>
    <col min="8707" max="8707" width="8.42578125" customWidth="1"/>
    <col min="8708" max="8708" width="85.28515625" customWidth="1"/>
    <col min="8709" max="8711" width="11.85546875" customWidth="1"/>
    <col min="8712" max="8712" width="9.7109375" customWidth="1"/>
    <col min="8713" max="8713" width="10.28515625" customWidth="1"/>
    <col min="8714" max="8714" width="13" customWidth="1"/>
    <col min="8715" max="8716" width="11.85546875" customWidth="1"/>
    <col min="8717" max="8717" width="14.28515625" customWidth="1"/>
    <col min="8961" max="8961" width="5" customWidth="1"/>
    <col min="8962" max="8962" width="5.85546875" customWidth="1"/>
    <col min="8963" max="8963" width="8.42578125" customWidth="1"/>
    <col min="8964" max="8964" width="85.28515625" customWidth="1"/>
    <col min="8965" max="8967" width="11.85546875" customWidth="1"/>
    <col min="8968" max="8968" width="9.7109375" customWidth="1"/>
    <col min="8969" max="8969" width="10.28515625" customWidth="1"/>
    <col min="8970" max="8970" width="13" customWidth="1"/>
    <col min="8971" max="8972" width="11.85546875" customWidth="1"/>
    <col min="8973" max="8973" width="14.28515625" customWidth="1"/>
    <col min="9217" max="9217" width="5" customWidth="1"/>
    <col min="9218" max="9218" width="5.85546875" customWidth="1"/>
    <col min="9219" max="9219" width="8.42578125" customWidth="1"/>
    <col min="9220" max="9220" width="85.28515625" customWidth="1"/>
    <col min="9221" max="9223" width="11.85546875" customWidth="1"/>
    <col min="9224" max="9224" width="9.7109375" customWidth="1"/>
    <col min="9225" max="9225" width="10.28515625" customWidth="1"/>
    <col min="9226" max="9226" width="13" customWidth="1"/>
    <col min="9227" max="9228" width="11.85546875" customWidth="1"/>
    <col min="9229" max="9229" width="14.28515625" customWidth="1"/>
    <col min="9473" max="9473" width="5" customWidth="1"/>
    <col min="9474" max="9474" width="5.85546875" customWidth="1"/>
    <col min="9475" max="9475" width="8.42578125" customWidth="1"/>
    <col min="9476" max="9476" width="85.28515625" customWidth="1"/>
    <col min="9477" max="9479" width="11.85546875" customWidth="1"/>
    <col min="9480" max="9480" width="9.7109375" customWidth="1"/>
    <col min="9481" max="9481" width="10.28515625" customWidth="1"/>
    <col min="9482" max="9482" width="13" customWidth="1"/>
    <col min="9483" max="9484" width="11.85546875" customWidth="1"/>
    <col min="9485" max="9485" width="14.28515625" customWidth="1"/>
    <col min="9729" max="9729" width="5" customWidth="1"/>
    <col min="9730" max="9730" width="5.85546875" customWidth="1"/>
    <col min="9731" max="9731" width="8.42578125" customWidth="1"/>
    <col min="9732" max="9732" width="85.28515625" customWidth="1"/>
    <col min="9733" max="9735" width="11.85546875" customWidth="1"/>
    <col min="9736" max="9736" width="9.7109375" customWidth="1"/>
    <col min="9737" max="9737" width="10.28515625" customWidth="1"/>
    <col min="9738" max="9738" width="13" customWidth="1"/>
    <col min="9739" max="9740" width="11.85546875" customWidth="1"/>
    <col min="9741" max="9741" width="14.28515625" customWidth="1"/>
    <col min="9985" max="9985" width="5" customWidth="1"/>
    <col min="9986" max="9986" width="5.85546875" customWidth="1"/>
    <col min="9987" max="9987" width="8.42578125" customWidth="1"/>
    <col min="9988" max="9988" width="85.28515625" customWidth="1"/>
    <col min="9989" max="9991" width="11.85546875" customWidth="1"/>
    <col min="9992" max="9992" width="9.7109375" customWidth="1"/>
    <col min="9993" max="9993" width="10.28515625" customWidth="1"/>
    <col min="9994" max="9994" width="13" customWidth="1"/>
    <col min="9995" max="9996" width="11.85546875" customWidth="1"/>
    <col min="9997" max="9997" width="14.28515625" customWidth="1"/>
    <col min="10241" max="10241" width="5" customWidth="1"/>
    <col min="10242" max="10242" width="5.85546875" customWidth="1"/>
    <col min="10243" max="10243" width="8.42578125" customWidth="1"/>
    <col min="10244" max="10244" width="85.28515625" customWidth="1"/>
    <col min="10245" max="10247" width="11.85546875" customWidth="1"/>
    <col min="10248" max="10248" width="9.7109375" customWidth="1"/>
    <col min="10249" max="10249" width="10.28515625" customWidth="1"/>
    <col min="10250" max="10250" width="13" customWidth="1"/>
    <col min="10251" max="10252" width="11.85546875" customWidth="1"/>
    <col min="10253" max="10253" width="14.28515625" customWidth="1"/>
    <col min="10497" max="10497" width="5" customWidth="1"/>
    <col min="10498" max="10498" width="5.85546875" customWidth="1"/>
    <col min="10499" max="10499" width="8.42578125" customWidth="1"/>
    <col min="10500" max="10500" width="85.28515625" customWidth="1"/>
    <col min="10501" max="10503" width="11.85546875" customWidth="1"/>
    <col min="10504" max="10504" width="9.7109375" customWidth="1"/>
    <col min="10505" max="10505" width="10.28515625" customWidth="1"/>
    <col min="10506" max="10506" width="13" customWidth="1"/>
    <col min="10507" max="10508" width="11.85546875" customWidth="1"/>
    <col min="10509" max="10509" width="14.28515625" customWidth="1"/>
    <col min="10753" max="10753" width="5" customWidth="1"/>
    <col min="10754" max="10754" width="5.85546875" customWidth="1"/>
    <col min="10755" max="10755" width="8.42578125" customWidth="1"/>
    <col min="10756" max="10756" width="85.28515625" customWidth="1"/>
    <col min="10757" max="10759" width="11.85546875" customWidth="1"/>
    <col min="10760" max="10760" width="9.7109375" customWidth="1"/>
    <col min="10761" max="10761" width="10.28515625" customWidth="1"/>
    <col min="10762" max="10762" width="13" customWidth="1"/>
    <col min="10763" max="10764" width="11.85546875" customWidth="1"/>
    <col min="10765" max="10765" width="14.28515625" customWidth="1"/>
    <col min="11009" max="11009" width="5" customWidth="1"/>
    <col min="11010" max="11010" width="5.85546875" customWidth="1"/>
    <col min="11011" max="11011" width="8.42578125" customWidth="1"/>
    <col min="11012" max="11012" width="85.28515625" customWidth="1"/>
    <col min="11013" max="11015" width="11.85546875" customWidth="1"/>
    <col min="11016" max="11016" width="9.7109375" customWidth="1"/>
    <col min="11017" max="11017" width="10.28515625" customWidth="1"/>
    <col min="11018" max="11018" width="13" customWidth="1"/>
    <col min="11019" max="11020" width="11.85546875" customWidth="1"/>
    <col min="11021" max="11021" width="14.28515625" customWidth="1"/>
    <col min="11265" max="11265" width="5" customWidth="1"/>
    <col min="11266" max="11266" width="5.85546875" customWidth="1"/>
    <col min="11267" max="11267" width="8.42578125" customWidth="1"/>
    <col min="11268" max="11268" width="85.28515625" customWidth="1"/>
    <col min="11269" max="11271" width="11.85546875" customWidth="1"/>
    <col min="11272" max="11272" width="9.7109375" customWidth="1"/>
    <col min="11273" max="11273" width="10.28515625" customWidth="1"/>
    <col min="11274" max="11274" width="13" customWidth="1"/>
    <col min="11275" max="11276" width="11.85546875" customWidth="1"/>
    <col min="11277" max="11277" width="14.28515625" customWidth="1"/>
    <col min="11521" max="11521" width="5" customWidth="1"/>
    <col min="11522" max="11522" width="5.85546875" customWidth="1"/>
    <col min="11523" max="11523" width="8.42578125" customWidth="1"/>
    <col min="11524" max="11524" width="85.28515625" customWidth="1"/>
    <col min="11525" max="11527" width="11.85546875" customWidth="1"/>
    <col min="11528" max="11528" width="9.7109375" customWidth="1"/>
    <col min="11529" max="11529" width="10.28515625" customWidth="1"/>
    <col min="11530" max="11530" width="13" customWidth="1"/>
    <col min="11531" max="11532" width="11.85546875" customWidth="1"/>
    <col min="11533" max="11533" width="14.28515625" customWidth="1"/>
    <col min="11777" max="11777" width="5" customWidth="1"/>
    <col min="11778" max="11778" width="5.85546875" customWidth="1"/>
    <col min="11779" max="11779" width="8.42578125" customWidth="1"/>
    <col min="11780" max="11780" width="85.28515625" customWidth="1"/>
    <col min="11781" max="11783" width="11.85546875" customWidth="1"/>
    <col min="11784" max="11784" width="9.7109375" customWidth="1"/>
    <col min="11785" max="11785" width="10.28515625" customWidth="1"/>
    <col min="11786" max="11786" width="13" customWidth="1"/>
    <col min="11787" max="11788" width="11.85546875" customWidth="1"/>
    <col min="11789" max="11789" width="14.28515625" customWidth="1"/>
    <col min="12033" max="12033" width="5" customWidth="1"/>
    <col min="12034" max="12034" width="5.85546875" customWidth="1"/>
    <col min="12035" max="12035" width="8.42578125" customWidth="1"/>
    <col min="12036" max="12036" width="85.28515625" customWidth="1"/>
    <col min="12037" max="12039" width="11.85546875" customWidth="1"/>
    <col min="12040" max="12040" width="9.7109375" customWidth="1"/>
    <col min="12041" max="12041" width="10.28515625" customWidth="1"/>
    <col min="12042" max="12042" width="13" customWidth="1"/>
    <col min="12043" max="12044" width="11.85546875" customWidth="1"/>
    <col min="12045" max="12045" width="14.28515625" customWidth="1"/>
    <col min="12289" max="12289" width="5" customWidth="1"/>
    <col min="12290" max="12290" width="5.85546875" customWidth="1"/>
    <col min="12291" max="12291" width="8.42578125" customWidth="1"/>
    <col min="12292" max="12292" width="85.28515625" customWidth="1"/>
    <col min="12293" max="12295" width="11.85546875" customWidth="1"/>
    <col min="12296" max="12296" width="9.7109375" customWidth="1"/>
    <col min="12297" max="12297" width="10.28515625" customWidth="1"/>
    <col min="12298" max="12298" width="13" customWidth="1"/>
    <col min="12299" max="12300" width="11.85546875" customWidth="1"/>
    <col min="12301" max="12301" width="14.28515625" customWidth="1"/>
    <col min="12545" max="12545" width="5" customWidth="1"/>
    <col min="12546" max="12546" width="5.85546875" customWidth="1"/>
    <col min="12547" max="12547" width="8.42578125" customWidth="1"/>
    <col min="12548" max="12548" width="85.28515625" customWidth="1"/>
    <col min="12549" max="12551" width="11.85546875" customWidth="1"/>
    <col min="12552" max="12552" width="9.7109375" customWidth="1"/>
    <col min="12553" max="12553" width="10.28515625" customWidth="1"/>
    <col min="12554" max="12554" width="13" customWidth="1"/>
    <col min="12555" max="12556" width="11.85546875" customWidth="1"/>
    <col min="12557" max="12557" width="14.28515625" customWidth="1"/>
    <col min="12801" max="12801" width="5" customWidth="1"/>
    <col min="12802" max="12802" width="5.85546875" customWidth="1"/>
    <col min="12803" max="12803" width="8.42578125" customWidth="1"/>
    <col min="12804" max="12804" width="85.28515625" customWidth="1"/>
    <col min="12805" max="12807" width="11.85546875" customWidth="1"/>
    <col min="12808" max="12808" width="9.7109375" customWidth="1"/>
    <col min="12809" max="12809" width="10.28515625" customWidth="1"/>
    <col min="12810" max="12810" width="13" customWidth="1"/>
    <col min="12811" max="12812" width="11.85546875" customWidth="1"/>
    <col min="12813" max="12813" width="14.28515625" customWidth="1"/>
    <col min="13057" max="13057" width="5" customWidth="1"/>
    <col min="13058" max="13058" width="5.85546875" customWidth="1"/>
    <col min="13059" max="13059" width="8.42578125" customWidth="1"/>
    <col min="13060" max="13060" width="85.28515625" customWidth="1"/>
    <col min="13061" max="13063" width="11.85546875" customWidth="1"/>
    <col min="13064" max="13064" width="9.7109375" customWidth="1"/>
    <col min="13065" max="13065" width="10.28515625" customWidth="1"/>
    <col min="13066" max="13066" width="13" customWidth="1"/>
    <col min="13067" max="13068" width="11.85546875" customWidth="1"/>
    <col min="13069" max="13069" width="14.28515625" customWidth="1"/>
    <col min="13313" max="13313" width="5" customWidth="1"/>
    <col min="13314" max="13314" width="5.85546875" customWidth="1"/>
    <col min="13315" max="13315" width="8.42578125" customWidth="1"/>
    <col min="13316" max="13316" width="85.28515625" customWidth="1"/>
    <col min="13317" max="13319" width="11.85546875" customWidth="1"/>
    <col min="13320" max="13320" width="9.7109375" customWidth="1"/>
    <col min="13321" max="13321" width="10.28515625" customWidth="1"/>
    <col min="13322" max="13322" width="13" customWidth="1"/>
    <col min="13323" max="13324" width="11.85546875" customWidth="1"/>
    <col min="13325" max="13325" width="14.28515625" customWidth="1"/>
    <col min="13569" max="13569" width="5" customWidth="1"/>
    <col min="13570" max="13570" width="5.85546875" customWidth="1"/>
    <col min="13571" max="13571" width="8.42578125" customWidth="1"/>
    <col min="13572" max="13572" width="85.28515625" customWidth="1"/>
    <col min="13573" max="13575" width="11.85546875" customWidth="1"/>
    <col min="13576" max="13576" width="9.7109375" customWidth="1"/>
    <col min="13577" max="13577" width="10.28515625" customWidth="1"/>
    <col min="13578" max="13578" width="13" customWidth="1"/>
    <col min="13579" max="13580" width="11.85546875" customWidth="1"/>
    <col min="13581" max="13581" width="14.28515625" customWidth="1"/>
    <col min="13825" max="13825" width="5" customWidth="1"/>
    <col min="13826" max="13826" width="5.85546875" customWidth="1"/>
    <col min="13827" max="13827" width="8.42578125" customWidth="1"/>
    <col min="13828" max="13828" width="85.28515625" customWidth="1"/>
    <col min="13829" max="13831" width="11.85546875" customWidth="1"/>
    <col min="13832" max="13832" width="9.7109375" customWidth="1"/>
    <col min="13833" max="13833" width="10.28515625" customWidth="1"/>
    <col min="13834" max="13834" width="13" customWidth="1"/>
    <col min="13835" max="13836" width="11.85546875" customWidth="1"/>
    <col min="13837" max="13837" width="14.28515625" customWidth="1"/>
    <col min="14081" max="14081" width="5" customWidth="1"/>
    <col min="14082" max="14082" width="5.85546875" customWidth="1"/>
    <col min="14083" max="14083" width="8.42578125" customWidth="1"/>
    <col min="14084" max="14084" width="85.28515625" customWidth="1"/>
    <col min="14085" max="14087" width="11.85546875" customWidth="1"/>
    <col min="14088" max="14088" width="9.7109375" customWidth="1"/>
    <col min="14089" max="14089" width="10.28515625" customWidth="1"/>
    <col min="14090" max="14090" width="13" customWidth="1"/>
    <col min="14091" max="14092" width="11.85546875" customWidth="1"/>
    <col min="14093" max="14093" width="14.28515625" customWidth="1"/>
    <col min="14337" max="14337" width="5" customWidth="1"/>
    <col min="14338" max="14338" width="5.85546875" customWidth="1"/>
    <col min="14339" max="14339" width="8.42578125" customWidth="1"/>
    <col min="14340" max="14340" width="85.28515625" customWidth="1"/>
    <col min="14341" max="14343" width="11.85546875" customWidth="1"/>
    <col min="14344" max="14344" width="9.7109375" customWidth="1"/>
    <col min="14345" max="14345" width="10.28515625" customWidth="1"/>
    <col min="14346" max="14346" width="13" customWidth="1"/>
    <col min="14347" max="14348" width="11.85546875" customWidth="1"/>
    <col min="14349" max="14349" width="14.28515625" customWidth="1"/>
    <col min="14593" max="14593" width="5" customWidth="1"/>
    <col min="14594" max="14594" width="5.85546875" customWidth="1"/>
    <col min="14595" max="14595" width="8.42578125" customWidth="1"/>
    <col min="14596" max="14596" width="85.28515625" customWidth="1"/>
    <col min="14597" max="14599" width="11.85546875" customWidth="1"/>
    <col min="14600" max="14600" width="9.7109375" customWidth="1"/>
    <col min="14601" max="14601" width="10.28515625" customWidth="1"/>
    <col min="14602" max="14602" width="13" customWidth="1"/>
    <col min="14603" max="14604" width="11.85546875" customWidth="1"/>
    <col min="14605" max="14605" width="14.28515625" customWidth="1"/>
    <col min="14849" max="14849" width="5" customWidth="1"/>
    <col min="14850" max="14850" width="5.85546875" customWidth="1"/>
    <col min="14851" max="14851" width="8.42578125" customWidth="1"/>
    <col min="14852" max="14852" width="85.28515625" customWidth="1"/>
    <col min="14853" max="14855" width="11.85546875" customWidth="1"/>
    <col min="14856" max="14856" width="9.7109375" customWidth="1"/>
    <col min="14857" max="14857" width="10.28515625" customWidth="1"/>
    <col min="14858" max="14858" width="13" customWidth="1"/>
    <col min="14859" max="14860" width="11.85546875" customWidth="1"/>
    <col min="14861" max="14861" width="14.28515625" customWidth="1"/>
    <col min="15105" max="15105" width="5" customWidth="1"/>
    <col min="15106" max="15106" width="5.85546875" customWidth="1"/>
    <col min="15107" max="15107" width="8.42578125" customWidth="1"/>
    <col min="15108" max="15108" width="85.28515625" customWidth="1"/>
    <col min="15109" max="15111" width="11.85546875" customWidth="1"/>
    <col min="15112" max="15112" width="9.7109375" customWidth="1"/>
    <col min="15113" max="15113" width="10.28515625" customWidth="1"/>
    <col min="15114" max="15114" width="13" customWidth="1"/>
    <col min="15115" max="15116" width="11.85546875" customWidth="1"/>
    <col min="15117" max="15117" width="14.28515625" customWidth="1"/>
    <col min="15361" max="15361" width="5" customWidth="1"/>
    <col min="15362" max="15362" width="5.85546875" customWidth="1"/>
    <col min="15363" max="15363" width="8.42578125" customWidth="1"/>
    <col min="15364" max="15364" width="85.28515625" customWidth="1"/>
    <col min="15365" max="15367" width="11.85546875" customWidth="1"/>
    <col min="15368" max="15368" width="9.7109375" customWidth="1"/>
    <col min="15369" max="15369" width="10.28515625" customWidth="1"/>
    <col min="15370" max="15370" width="13" customWidth="1"/>
    <col min="15371" max="15372" width="11.85546875" customWidth="1"/>
    <col min="15373" max="15373" width="14.28515625" customWidth="1"/>
    <col min="15617" max="15617" width="5" customWidth="1"/>
    <col min="15618" max="15618" width="5.85546875" customWidth="1"/>
    <col min="15619" max="15619" width="8.42578125" customWidth="1"/>
    <col min="15620" max="15620" width="85.28515625" customWidth="1"/>
    <col min="15621" max="15623" width="11.85546875" customWidth="1"/>
    <col min="15624" max="15624" width="9.7109375" customWidth="1"/>
    <col min="15625" max="15625" width="10.28515625" customWidth="1"/>
    <col min="15626" max="15626" width="13" customWidth="1"/>
    <col min="15627" max="15628" width="11.85546875" customWidth="1"/>
    <col min="15629" max="15629" width="14.28515625" customWidth="1"/>
    <col min="15873" max="15873" width="5" customWidth="1"/>
    <col min="15874" max="15874" width="5.85546875" customWidth="1"/>
    <col min="15875" max="15875" width="8.42578125" customWidth="1"/>
    <col min="15876" max="15876" width="85.28515625" customWidth="1"/>
    <col min="15877" max="15879" width="11.85546875" customWidth="1"/>
    <col min="15880" max="15880" width="9.7109375" customWidth="1"/>
    <col min="15881" max="15881" width="10.28515625" customWidth="1"/>
    <col min="15882" max="15882" width="13" customWidth="1"/>
    <col min="15883" max="15884" width="11.85546875" customWidth="1"/>
    <col min="15885" max="15885" width="14.28515625" customWidth="1"/>
    <col min="16129" max="16129" width="5" customWidth="1"/>
    <col min="16130" max="16130" width="5.85546875" customWidth="1"/>
    <col min="16131" max="16131" width="8.42578125" customWidth="1"/>
    <col min="16132" max="16132" width="85.28515625" customWidth="1"/>
    <col min="16133" max="16135" width="11.85546875" customWidth="1"/>
    <col min="16136" max="16136" width="9.7109375" customWidth="1"/>
    <col min="16137" max="16137" width="10.28515625" customWidth="1"/>
    <col min="16138" max="16138" width="13" customWidth="1"/>
    <col min="16139" max="16140" width="11.85546875" customWidth="1"/>
    <col min="16141" max="16141" width="14.28515625" customWidth="1"/>
  </cols>
  <sheetData>
    <row r="1" spans="1:15" x14ac:dyDescent="0.25">
      <c r="A1" s="270"/>
      <c r="B1" s="270"/>
      <c r="C1" s="270"/>
      <c r="D1" s="270"/>
      <c r="E1" s="271"/>
      <c r="F1" s="272"/>
      <c r="G1" s="66" t="s">
        <v>457</v>
      </c>
      <c r="H1" s="271"/>
      <c r="I1" s="271"/>
      <c r="J1" s="271"/>
      <c r="K1" s="271"/>
      <c r="L1" s="271"/>
      <c r="M1" s="270"/>
      <c r="O1" s="66"/>
    </row>
    <row r="2" spans="1:15" ht="36" customHeight="1" x14ac:dyDescent="0.25">
      <c r="A2" s="575" t="s">
        <v>458</v>
      </c>
      <c r="B2" s="575"/>
      <c r="C2" s="575"/>
      <c r="D2" s="575"/>
      <c r="E2" s="575"/>
      <c r="F2" s="575"/>
      <c r="G2" s="575"/>
      <c r="H2" s="271"/>
      <c r="I2" s="271"/>
      <c r="J2" s="271"/>
      <c r="K2" s="271"/>
      <c r="L2" s="271"/>
      <c r="M2" s="270"/>
      <c r="O2" s="66"/>
    </row>
    <row r="3" spans="1:15" ht="0.75" customHeight="1" x14ac:dyDescent="0.25">
      <c r="A3" s="57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</row>
    <row r="4" spans="1:15" x14ac:dyDescent="0.25">
      <c r="A4" s="510" t="s">
        <v>216</v>
      </c>
      <c r="B4" s="510" t="s">
        <v>2</v>
      </c>
      <c r="C4" s="510" t="s">
        <v>68</v>
      </c>
      <c r="D4" s="511" t="s">
        <v>459</v>
      </c>
      <c r="E4" s="551" t="s">
        <v>460</v>
      </c>
      <c r="F4" s="527" t="s">
        <v>6</v>
      </c>
      <c r="G4" s="551" t="s">
        <v>219</v>
      </c>
      <c r="H4" s="532"/>
      <c r="I4" s="532"/>
      <c r="J4" s="532"/>
      <c r="K4" s="532"/>
      <c r="L4" s="532"/>
      <c r="M4" s="576"/>
    </row>
    <row r="5" spans="1:15" x14ac:dyDescent="0.25">
      <c r="A5" s="510"/>
      <c r="B5" s="510"/>
      <c r="C5" s="510"/>
      <c r="D5" s="511"/>
      <c r="E5" s="551"/>
      <c r="F5" s="527"/>
      <c r="G5" s="551"/>
      <c r="H5" s="532"/>
      <c r="I5" s="532"/>
      <c r="J5" s="532"/>
      <c r="K5" s="532"/>
      <c r="L5" s="532"/>
      <c r="M5" s="576"/>
    </row>
    <row r="6" spans="1:15" x14ac:dyDescent="0.25">
      <c r="A6" s="510"/>
      <c r="B6" s="510"/>
      <c r="C6" s="510"/>
      <c r="D6" s="511"/>
      <c r="E6" s="551"/>
      <c r="F6" s="527"/>
      <c r="G6" s="551"/>
      <c r="H6" s="532"/>
      <c r="I6" s="532"/>
      <c r="J6" s="532"/>
      <c r="K6" s="532"/>
      <c r="L6" s="532"/>
      <c r="M6" s="576"/>
    </row>
    <row r="7" spans="1:15" ht="12.6" customHeight="1" x14ac:dyDescent="0.25">
      <c r="A7" s="510"/>
      <c r="B7" s="510"/>
      <c r="C7" s="510"/>
      <c r="D7" s="511"/>
      <c r="E7" s="551"/>
      <c r="F7" s="527"/>
      <c r="G7" s="551"/>
      <c r="H7" s="532"/>
      <c r="I7" s="532"/>
      <c r="J7" s="532"/>
      <c r="K7" s="532"/>
      <c r="L7" s="532"/>
      <c r="M7" s="576"/>
    </row>
    <row r="8" spans="1:15" ht="4.1500000000000004" hidden="1" customHeight="1" x14ac:dyDescent="0.25">
      <c r="A8" s="510"/>
      <c r="B8" s="510"/>
      <c r="C8" s="510"/>
      <c r="D8" s="511"/>
      <c r="E8" s="551"/>
      <c r="F8" s="527"/>
      <c r="G8" s="551"/>
      <c r="H8" s="532"/>
      <c r="I8" s="532"/>
      <c r="J8" s="532"/>
      <c r="K8" s="532"/>
      <c r="L8" s="532"/>
      <c r="M8" s="576"/>
    </row>
    <row r="9" spans="1:15" x14ac:dyDescent="0.25">
      <c r="A9" s="93">
        <v>1</v>
      </c>
      <c r="B9" s="93">
        <v>2</v>
      </c>
      <c r="C9" s="93">
        <v>3</v>
      </c>
      <c r="D9" s="93">
        <v>4</v>
      </c>
      <c r="E9" s="148">
        <v>5</v>
      </c>
      <c r="F9" s="148">
        <v>6</v>
      </c>
      <c r="G9" s="148">
        <v>7</v>
      </c>
      <c r="H9" s="131"/>
      <c r="I9" s="131"/>
      <c r="J9" s="131"/>
      <c r="K9" s="131"/>
      <c r="L9" s="131"/>
      <c r="M9" s="132"/>
    </row>
    <row r="10" spans="1:15" ht="25.5" x14ac:dyDescent="0.25">
      <c r="A10" s="404">
        <v>1</v>
      </c>
      <c r="B10" s="405" t="s">
        <v>16</v>
      </c>
      <c r="C10" s="405" t="s">
        <v>398</v>
      </c>
      <c r="D10" s="406" t="s">
        <v>461</v>
      </c>
      <c r="E10" s="407">
        <v>24000</v>
      </c>
      <c r="F10" s="407">
        <v>19349.599999999999</v>
      </c>
      <c r="G10" s="408">
        <f>F10/E10*100</f>
        <v>80.623333333333321</v>
      </c>
      <c r="H10" s="273"/>
      <c r="I10" s="273"/>
      <c r="J10" s="273"/>
      <c r="K10" s="409"/>
      <c r="L10" s="273"/>
      <c r="M10" s="274"/>
    </row>
    <row r="11" spans="1:15" ht="40.5" customHeight="1" x14ac:dyDescent="0.25">
      <c r="A11" s="404">
        <v>2</v>
      </c>
      <c r="B11" s="405" t="s">
        <v>19</v>
      </c>
      <c r="C11" s="405" t="s">
        <v>82</v>
      </c>
      <c r="D11" s="406" t="s">
        <v>462</v>
      </c>
      <c r="E11" s="407">
        <v>70000</v>
      </c>
      <c r="F11" s="407">
        <v>0</v>
      </c>
      <c r="G11" s="408">
        <f>F11/E11*100</f>
        <v>0</v>
      </c>
      <c r="H11" s="273"/>
      <c r="I11" s="273"/>
      <c r="J11" s="273"/>
      <c r="K11" s="409"/>
      <c r="L11" s="273"/>
      <c r="M11" s="274"/>
    </row>
    <row r="12" spans="1:15" ht="18.75" customHeight="1" x14ac:dyDescent="0.25">
      <c r="A12" s="404">
        <v>3</v>
      </c>
      <c r="B12" s="405" t="s">
        <v>19</v>
      </c>
      <c r="C12" s="405" t="s">
        <v>84</v>
      </c>
      <c r="D12" s="406" t="s">
        <v>463</v>
      </c>
      <c r="E12" s="407">
        <v>20910</v>
      </c>
      <c r="F12" s="407">
        <v>20910</v>
      </c>
      <c r="G12" s="408">
        <f>F12/E12*100</f>
        <v>100</v>
      </c>
      <c r="H12" s="273"/>
      <c r="I12" s="273"/>
      <c r="J12" s="273"/>
      <c r="K12" s="409"/>
      <c r="L12" s="273"/>
      <c r="M12" s="274"/>
    </row>
    <row r="13" spans="1:15" x14ac:dyDescent="0.25">
      <c r="A13" s="404">
        <v>4</v>
      </c>
      <c r="B13" s="405" t="s">
        <v>19</v>
      </c>
      <c r="C13" s="405" t="s">
        <v>84</v>
      </c>
      <c r="D13" s="406" t="s">
        <v>464</v>
      </c>
      <c r="E13" s="407">
        <v>0</v>
      </c>
      <c r="F13" s="407">
        <v>0</v>
      </c>
      <c r="G13" s="408">
        <v>0</v>
      </c>
      <c r="H13" s="273"/>
      <c r="I13" s="273"/>
      <c r="J13" s="273"/>
      <c r="K13" s="409"/>
      <c r="L13" s="273"/>
      <c r="M13" s="274"/>
    </row>
    <row r="14" spans="1:15" x14ac:dyDescent="0.25">
      <c r="A14" s="404">
        <v>5</v>
      </c>
      <c r="B14" s="405" t="s">
        <v>19</v>
      </c>
      <c r="C14" s="405" t="s">
        <v>84</v>
      </c>
      <c r="D14" s="406" t="s">
        <v>465</v>
      </c>
      <c r="E14" s="407">
        <v>29000</v>
      </c>
      <c r="F14" s="407">
        <v>0</v>
      </c>
      <c r="G14" s="408">
        <f t="shared" ref="G14:G29" si="0">F14/E14*100</f>
        <v>0</v>
      </c>
      <c r="H14" s="273"/>
      <c r="I14" s="273"/>
      <c r="J14" s="273"/>
      <c r="K14" s="409"/>
      <c r="L14" s="273"/>
      <c r="M14" s="274"/>
    </row>
    <row r="15" spans="1:15" ht="30" x14ac:dyDescent="0.25">
      <c r="A15" s="404">
        <v>6</v>
      </c>
      <c r="B15" s="410" t="s">
        <v>22</v>
      </c>
      <c r="C15" s="410" t="s">
        <v>86</v>
      </c>
      <c r="D15" s="411" t="s">
        <v>466</v>
      </c>
      <c r="E15" s="407">
        <v>143115</v>
      </c>
      <c r="F15" s="407">
        <v>142215.10999999999</v>
      </c>
      <c r="G15" s="408">
        <f t="shared" si="0"/>
        <v>99.371211962407841</v>
      </c>
      <c r="H15" s="273"/>
      <c r="I15" s="273"/>
      <c r="J15" s="273"/>
      <c r="K15" s="409"/>
      <c r="L15" s="273"/>
      <c r="M15" s="274"/>
    </row>
    <row r="16" spans="1:15" ht="30" x14ac:dyDescent="0.25">
      <c r="A16" s="404">
        <v>7</v>
      </c>
      <c r="B16" s="410" t="s">
        <v>22</v>
      </c>
      <c r="C16" s="410" t="s">
        <v>86</v>
      </c>
      <c r="D16" s="411" t="s">
        <v>467</v>
      </c>
      <c r="E16" s="407">
        <v>12000</v>
      </c>
      <c r="F16" s="407">
        <v>10774.8</v>
      </c>
      <c r="G16" s="408">
        <f t="shared" si="0"/>
        <v>89.789999999999992</v>
      </c>
      <c r="H16" s="273"/>
      <c r="I16" s="273"/>
      <c r="J16" s="273"/>
      <c r="K16" s="409"/>
      <c r="L16" s="273"/>
      <c r="M16" s="274"/>
    </row>
    <row r="17" spans="1:13" x14ac:dyDescent="0.25">
      <c r="A17" s="404">
        <v>8</v>
      </c>
      <c r="B17" s="410" t="s">
        <v>22</v>
      </c>
      <c r="C17" s="410" t="s">
        <v>86</v>
      </c>
      <c r="D17" s="411" t="s">
        <v>468</v>
      </c>
      <c r="E17" s="407">
        <v>5535</v>
      </c>
      <c r="F17" s="407">
        <v>5535</v>
      </c>
      <c r="G17" s="408">
        <f t="shared" si="0"/>
        <v>100</v>
      </c>
      <c r="H17" s="273"/>
      <c r="I17" s="273"/>
      <c r="J17" s="273"/>
      <c r="K17" s="409"/>
      <c r="L17" s="273"/>
      <c r="M17" s="274"/>
    </row>
    <row r="18" spans="1:13" ht="30" x14ac:dyDescent="0.25">
      <c r="A18" s="404">
        <v>9</v>
      </c>
      <c r="B18" s="410" t="s">
        <v>387</v>
      </c>
      <c r="C18" s="410" t="s">
        <v>402</v>
      </c>
      <c r="D18" s="411" t="s">
        <v>469</v>
      </c>
      <c r="E18" s="407">
        <v>100000</v>
      </c>
      <c r="F18" s="407">
        <v>100000</v>
      </c>
      <c r="G18" s="408">
        <f t="shared" si="0"/>
        <v>100</v>
      </c>
      <c r="H18" s="273"/>
      <c r="I18" s="273"/>
      <c r="J18" s="273"/>
      <c r="K18" s="409"/>
      <c r="L18" s="273"/>
      <c r="M18" s="274"/>
    </row>
    <row r="19" spans="1:13" ht="19.5" customHeight="1" x14ac:dyDescent="0.25">
      <c r="A19" s="404">
        <v>10</v>
      </c>
      <c r="B19" s="410" t="s">
        <v>28</v>
      </c>
      <c r="C19" s="410" t="s">
        <v>107</v>
      </c>
      <c r="D19" s="411" t="s">
        <v>470</v>
      </c>
      <c r="E19" s="407">
        <v>34021</v>
      </c>
      <c r="F19" s="407">
        <v>34020.57</v>
      </c>
      <c r="G19" s="408">
        <f t="shared" si="0"/>
        <v>99.998736074777341</v>
      </c>
      <c r="H19" s="273"/>
      <c r="I19" s="273"/>
      <c r="J19" s="273"/>
      <c r="K19" s="409"/>
      <c r="L19" s="273"/>
      <c r="M19" s="274"/>
    </row>
    <row r="20" spans="1:13" ht="18" customHeight="1" x14ac:dyDescent="0.25">
      <c r="A20" s="404">
        <v>11</v>
      </c>
      <c r="B20" s="410" t="s">
        <v>53</v>
      </c>
      <c r="C20" s="410" t="s">
        <v>118</v>
      </c>
      <c r="D20" s="411" t="s">
        <v>471</v>
      </c>
      <c r="E20" s="407">
        <v>27238</v>
      </c>
      <c r="F20" s="407">
        <v>27237.01</v>
      </c>
      <c r="G20" s="408">
        <f t="shared" si="0"/>
        <v>99.99636537190689</v>
      </c>
      <c r="H20" s="273"/>
      <c r="I20" s="273"/>
      <c r="J20" s="273"/>
      <c r="K20" s="409"/>
      <c r="L20" s="273"/>
      <c r="M20" s="274"/>
    </row>
    <row r="21" spans="1:13" ht="18" customHeight="1" x14ac:dyDescent="0.25">
      <c r="A21" s="404">
        <v>12</v>
      </c>
      <c r="B21" s="410" t="s">
        <v>53</v>
      </c>
      <c r="C21" s="410" t="s">
        <v>118</v>
      </c>
      <c r="D21" s="411" t="s">
        <v>472</v>
      </c>
      <c r="E21" s="407">
        <v>12000</v>
      </c>
      <c r="F21" s="407">
        <v>12000</v>
      </c>
      <c r="G21" s="408">
        <f t="shared" si="0"/>
        <v>100</v>
      </c>
      <c r="H21" s="273"/>
      <c r="I21" s="273"/>
      <c r="J21" s="273"/>
      <c r="K21" s="409"/>
      <c r="L21" s="273"/>
      <c r="M21" s="274"/>
    </row>
    <row r="22" spans="1:13" ht="30" x14ac:dyDescent="0.25">
      <c r="A22" s="404">
        <v>13</v>
      </c>
      <c r="B22" s="410" t="s">
        <v>61</v>
      </c>
      <c r="C22" s="410" t="s">
        <v>164</v>
      </c>
      <c r="D22" s="411" t="s">
        <v>473</v>
      </c>
      <c r="E22" s="407">
        <v>18450</v>
      </c>
      <c r="F22" s="407">
        <v>18450</v>
      </c>
      <c r="G22" s="408">
        <f t="shared" si="0"/>
        <v>100</v>
      </c>
      <c r="H22" s="273"/>
      <c r="I22" s="273"/>
      <c r="J22" s="273"/>
      <c r="K22" s="409"/>
      <c r="L22" s="273"/>
      <c r="M22" s="274"/>
    </row>
    <row r="23" spans="1:13" ht="30" x14ac:dyDescent="0.25">
      <c r="A23" s="404">
        <v>14</v>
      </c>
      <c r="B23" s="410" t="s">
        <v>172</v>
      </c>
      <c r="C23" s="410" t="s">
        <v>447</v>
      </c>
      <c r="D23" s="411" t="s">
        <v>474</v>
      </c>
      <c r="E23" s="407">
        <v>207027.95</v>
      </c>
      <c r="F23" s="407">
        <v>207027.45</v>
      </c>
      <c r="G23" s="408">
        <f t="shared" si="0"/>
        <v>99.999758486716402</v>
      </c>
      <c r="H23" s="273"/>
      <c r="I23" s="273"/>
      <c r="J23" s="273"/>
      <c r="K23" s="409"/>
      <c r="L23" s="273"/>
      <c r="M23" s="274"/>
    </row>
    <row r="24" spans="1:13" ht="30" x14ac:dyDescent="0.25">
      <c r="A24" s="404">
        <v>15</v>
      </c>
      <c r="B24" s="410" t="s">
        <v>178</v>
      </c>
      <c r="C24" s="410" t="s">
        <v>174</v>
      </c>
      <c r="D24" s="411" t="s">
        <v>475</v>
      </c>
      <c r="E24" s="407">
        <v>40000</v>
      </c>
      <c r="F24" s="407">
        <v>34999.99</v>
      </c>
      <c r="G24" s="408">
        <f t="shared" si="0"/>
        <v>87.499974999999992</v>
      </c>
      <c r="H24" s="273"/>
      <c r="I24" s="273"/>
      <c r="J24" s="273"/>
      <c r="K24" s="409"/>
      <c r="L24" s="273"/>
      <c r="M24" s="274"/>
    </row>
    <row r="25" spans="1:13" ht="27.75" customHeight="1" x14ac:dyDescent="0.25">
      <c r="A25" s="404">
        <v>16</v>
      </c>
      <c r="B25" s="405" t="s">
        <v>178</v>
      </c>
      <c r="C25" s="405" t="s">
        <v>174</v>
      </c>
      <c r="D25" s="406" t="s">
        <v>414</v>
      </c>
      <c r="E25" s="407">
        <v>66305</v>
      </c>
      <c r="F25" s="407">
        <v>66005</v>
      </c>
      <c r="G25" s="408">
        <f t="shared" si="0"/>
        <v>99.547545433979337</v>
      </c>
      <c r="H25" s="273"/>
      <c r="I25" s="273"/>
      <c r="J25" s="273"/>
      <c r="K25" s="409"/>
      <c r="L25" s="273"/>
      <c r="M25" s="274"/>
    </row>
    <row r="26" spans="1:13" hidden="1" x14ac:dyDescent="0.25">
      <c r="A26" s="412">
        <v>27</v>
      </c>
      <c r="B26" s="413" t="s">
        <v>61</v>
      </c>
      <c r="C26" s="414" t="s">
        <v>164</v>
      </c>
      <c r="D26" s="415" t="s">
        <v>476</v>
      </c>
      <c r="E26" s="416"/>
      <c r="F26" s="407"/>
      <c r="G26" s="408" t="e">
        <f t="shared" si="0"/>
        <v>#DIV/0!</v>
      </c>
      <c r="H26" s="273"/>
      <c r="I26" s="273"/>
      <c r="J26" s="273"/>
      <c r="K26" s="409"/>
      <c r="L26" s="273"/>
      <c r="M26" s="274"/>
    </row>
    <row r="27" spans="1:13" ht="51.75" hidden="1" customHeight="1" x14ac:dyDescent="0.25">
      <c r="A27" s="412"/>
      <c r="B27" s="417"/>
      <c r="C27" s="417"/>
      <c r="D27" s="418"/>
      <c r="E27" s="416"/>
      <c r="F27" s="407"/>
      <c r="G27" s="408" t="e">
        <f t="shared" si="0"/>
        <v>#DIV/0!</v>
      </c>
      <c r="H27" s="273"/>
      <c r="I27" s="273"/>
      <c r="J27" s="273"/>
      <c r="K27" s="409"/>
      <c r="L27" s="273"/>
      <c r="M27" s="274"/>
    </row>
    <row r="28" spans="1:13" ht="27.75" hidden="1" customHeight="1" x14ac:dyDescent="0.25">
      <c r="A28" s="412"/>
      <c r="B28" s="417" t="s">
        <v>61</v>
      </c>
      <c r="C28" s="417" t="s">
        <v>164</v>
      </c>
      <c r="D28" s="418"/>
      <c r="E28" s="416"/>
      <c r="F28" s="407"/>
      <c r="G28" s="408" t="e">
        <f t="shared" si="0"/>
        <v>#DIV/0!</v>
      </c>
      <c r="H28" s="273"/>
      <c r="I28" s="273"/>
      <c r="J28" s="273"/>
      <c r="K28" s="409"/>
      <c r="L28" s="273"/>
      <c r="M28" s="274"/>
    </row>
    <row r="29" spans="1:13" x14ac:dyDescent="0.25">
      <c r="A29" s="573" t="s">
        <v>4</v>
      </c>
      <c r="B29" s="573"/>
      <c r="C29" s="573"/>
      <c r="D29" s="573"/>
      <c r="E29" s="419">
        <f>SUM(E10:E25)</f>
        <v>809601.95</v>
      </c>
      <c r="F29" s="230">
        <f>SUM(F10:F25)</f>
        <v>698524.53</v>
      </c>
      <c r="G29" s="420">
        <f t="shared" si="0"/>
        <v>86.279995990622311</v>
      </c>
      <c r="H29" s="273"/>
      <c r="I29" s="273"/>
      <c r="J29" s="273"/>
      <c r="K29" s="273"/>
      <c r="L29" s="273"/>
      <c r="M29" s="403"/>
    </row>
    <row r="30" spans="1:13" x14ac:dyDescent="0.25">
      <c r="A30" s="421"/>
      <c r="B30" s="421"/>
      <c r="C30" s="421"/>
      <c r="D30" s="421"/>
      <c r="E30" s="133"/>
      <c r="F30" s="422"/>
      <c r="G30" s="423"/>
      <c r="H30" s="424"/>
      <c r="I30" s="424"/>
      <c r="J30" s="424"/>
      <c r="K30" s="424"/>
      <c r="L30" s="424"/>
      <c r="M30" s="403"/>
    </row>
    <row r="31" spans="1:13" ht="27.75" customHeight="1" x14ac:dyDescent="0.25">
      <c r="A31" s="421"/>
      <c r="B31" s="421"/>
      <c r="C31" s="421"/>
      <c r="D31" s="421"/>
      <c r="E31" s="133"/>
      <c r="F31" s="422"/>
      <c r="G31" s="423"/>
      <c r="H31" s="424"/>
      <c r="I31" s="424"/>
      <c r="J31" s="424"/>
      <c r="K31" s="424"/>
      <c r="L31" s="424"/>
      <c r="M31" s="403"/>
    </row>
    <row r="32" spans="1:13" ht="18" hidden="1" x14ac:dyDescent="0.25">
      <c r="A32" s="574" t="s">
        <v>477</v>
      </c>
      <c r="B32" s="574"/>
      <c r="C32" s="574"/>
      <c r="D32" s="574"/>
      <c r="E32" s="574"/>
      <c r="F32" s="574"/>
      <c r="G32" s="574"/>
      <c r="H32" s="574"/>
      <c r="I32" s="574"/>
      <c r="J32" s="424"/>
      <c r="K32" s="424"/>
      <c r="L32" s="424"/>
      <c r="M32" s="403"/>
    </row>
    <row r="33" spans="1:13" ht="18" hidden="1" x14ac:dyDescent="0.25">
      <c r="A33" s="425"/>
      <c r="B33" s="425"/>
      <c r="C33" s="425"/>
      <c r="D33" s="425"/>
      <c r="E33" s="425"/>
      <c r="F33" s="426"/>
      <c r="G33" s="426"/>
      <c r="H33" s="147"/>
      <c r="J33" s="424"/>
      <c r="K33" s="424"/>
      <c r="L33" s="424"/>
      <c r="M33" s="403"/>
    </row>
    <row r="34" spans="1:13" hidden="1" x14ac:dyDescent="0.25">
      <c r="A34" s="510" t="s">
        <v>216</v>
      </c>
      <c r="B34" s="510" t="s">
        <v>2</v>
      </c>
      <c r="C34" s="510" t="s">
        <v>68</v>
      </c>
      <c r="D34" s="511" t="s">
        <v>478</v>
      </c>
      <c r="E34" s="548" t="s">
        <v>479</v>
      </c>
      <c r="F34" s="551" t="s">
        <v>480</v>
      </c>
      <c r="G34" s="561" t="s">
        <v>481</v>
      </c>
      <c r="H34" s="551" t="s">
        <v>482</v>
      </c>
      <c r="I34" s="551" t="s">
        <v>219</v>
      </c>
      <c r="J34" s="424"/>
      <c r="K34" s="424"/>
      <c r="L34" s="424"/>
      <c r="M34" s="403"/>
    </row>
    <row r="35" spans="1:13" hidden="1" x14ac:dyDescent="0.25">
      <c r="A35" s="510"/>
      <c r="B35" s="510"/>
      <c r="C35" s="510"/>
      <c r="D35" s="511"/>
      <c r="E35" s="571"/>
      <c r="F35" s="551"/>
      <c r="G35" s="562"/>
      <c r="H35" s="551"/>
      <c r="I35" s="551"/>
      <c r="J35" s="424"/>
      <c r="K35" s="424"/>
      <c r="L35" s="424"/>
      <c r="M35" s="403"/>
    </row>
    <row r="36" spans="1:13" hidden="1" x14ac:dyDescent="0.25">
      <c r="A36" s="510"/>
      <c r="B36" s="510"/>
      <c r="C36" s="510"/>
      <c r="D36" s="511"/>
      <c r="E36" s="571"/>
      <c r="F36" s="551"/>
      <c r="G36" s="562"/>
      <c r="H36" s="551"/>
      <c r="I36" s="551"/>
      <c r="J36" s="424"/>
      <c r="K36" s="424"/>
      <c r="L36" s="424"/>
      <c r="M36" s="403"/>
    </row>
    <row r="37" spans="1:13" hidden="1" x14ac:dyDescent="0.25">
      <c r="A37" s="510"/>
      <c r="B37" s="510"/>
      <c r="C37" s="510"/>
      <c r="D37" s="511"/>
      <c r="E37" s="571"/>
      <c r="F37" s="551"/>
      <c r="G37" s="562"/>
      <c r="H37" s="551"/>
      <c r="I37" s="551"/>
      <c r="J37" s="424"/>
      <c r="K37" s="424"/>
      <c r="L37" s="424"/>
      <c r="M37" s="403"/>
    </row>
    <row r="38" spans="1:13" hidden="1" x14ac:dyDescent="0.25">
      <c r="A38" s="510"/>
      <c r="B38" s="510"/>
      <c r="C38" s="510"/>
      <c r="D38" s="511"/>
      <c r="E38" s="572"/>
      <c r="F38" s="551"/>
      <c r="G38" s="563"/>
      <c r="H38" s="551"/>
      <c r="I38" s="551"/>
      <c r="J38" s="424"/>
      <c r="K38" s="424"/>
      <c r="L38" s="424"/>
      <c r="M38" s="403"/>
    </row>
    <row r="39" spans="1:13" hidden="1" x14ac:dyDescent="0.25">
      <c r="A39" s="93">
        <v>1</v>
      </c>
      <c r="B39" s="93">
        <v>2</v>
      </c>
      <c r="C39" s="93">
        <v>3</v>
      </c>
      <c r="D39" s="93">
        <v>4</v>
      </c>
      <c r="E39" s="93">
        <v>5</v>
      </c>
      <c r="F39" s="148">
        <v>6</v>
      </c>
      <c r="G39" s="148">
        <v>7</v>
      </c>
      <c r="H39" s="148">
        <v>15</v>
      </c>
      <c r="I39" s="148">
        <v>15</v>
      </c>
      <c r="J39" s="81"/>
      <c r="K39" s="81"/>
      <c r="L39" s="81"/>
      <c r="M39" s="68"/>
    </row>
    <row r="40" spans="1:13" hidden="1" x14ac:dyDescent="0.25">
      <c r="A40" s="427">
        <v>1</v>
      </c>
      <c r="B40" s="428" t="s">
        <v>19</v>
      </c>
      <c r="C40" s="428" t="s">
        <v>84</v>
      </c>
      <c r="D40" s="429" t="s">
        <v>483</v>
      </c>
      <c r="E40" s="427" t="s">
        <v>484</v>
      </c>
      <c r="F40" s="430">
        <v>1482856</v>
      </c>
      <c r="G40" s="431">
        <v>1400200</v>
      </c>
      <c r="H40" s="432">
        <v>1258775.1200000001</v>
      </c>
      <c r="I40" s="432">
        <f t="shared" ref="I40:I45" si="1">H40/G40*100</f>
        <v>89.899665762034005</v>
      </c>
      <c r="J40" s="81"/>
      <c r="K40" s="81"/>
      <c r="L40" s="81"/>
      <c r="M40" s="68"/>
    </row>
    <row r="41" spans="1:13" ht="19.149999999999999" hidden="1" customHeight="1" x14ac:dyDescent="0.25">
      <c r="A41" s="158">
        <v>2</v>
      </c>
      <c r="B41" s="166" t="s">
        <v>19</v>
      </c>
      <c r="C41" s="166" t="s">
        <v>84</v>
      </c>
      <c r="D41" s="433" t="s">
        <v>485</v>
      </c>
      <c r="E41" s="158" t="s">
        <v>486</v>
      </c>
      <c r="F41" s="434">
        <v>2045083.67</v>
      </c>
      <c r="G41" s="160">
        <v>414800</v>
      </c>
      <c r="H41" s="432">
        <v>352299.88</v>
      </c>
      <c r="I41" s="432">
        <f t="shared" si="1"/>
        <v>84.932468659594988</v>
      </c>
      <c r="J41" s="81"/>
      <c r="K41" s="81"/>
      <c r="L41" s="81"/>
      <c r="M41" s="68"/>
    </row>
    <row r="42" spans="1:13" ht="27" hidden="1" customHeight="1" x14ac:dyDescent="0.25">
      <c r="A42" s="158">
        <v>3</v>
      </c>
      <c r="B42" s="166" t="s">
        <v>53</v>
      </c>
      <c r="C42" s="166" t="s">
        <v>118</v>
      </c>
      <c r="D42" s="433" t="s">
        <v>487</v>
      </c>
      <c r="E42" s="158" t="s">
        <v>484</v>
      </c>
      <c r="F42" s="434">
        <v>68500</v>
      </c>
      <c r="G42" s="160">
        <v>60000</v>
      </c>
      <c r="H42" s="432">
        <v>60000.02</v>
      </c>
      <c r="I42" s="432">
        <f t="shared" si="1"/>
        <v>100.00003333333333</v>
      </c>
    </row>
    <row r="43" spans="1:13" ht="30" hidden="1" x14ac:dyDescent="0.25">
      <c r="A43" s="158">
        <v>4</v>
      </c>
      <c r="B43" s="166" t="s">
        <v>53</v>
      </c>
      <c r="C43" s="166" t="s">
        <v>488</v>
      </c>
      <c r="D43" s="433" t="s">
        <v>489</v>
      </c>
      <c r="E43" s="158" t="s">
        <v>490</v>
      </c>
      <c r="F43" s="434">
        <v>5516666</v>
      </c>
      <c r="G43" s="160">
        <v>2757028</v>
      </c>
      <c r="H43" s="432">
        <v>1964323.28</v>
      </c>
      <c r="I43" s="432">
        <f t="shared" si="1"/>
        <v>71.247853848419382</v>
      </c>
    </row>
    <row r="44" spans="1:13" hidden="1" x14ac:dyDescent="0.25">
      <c r="A44" s="158">
        <v>5</v>
      </c>
      <c r="B44" s="166" t="s">
        <v>61</v>
      </c>
      <c r="C44" s="166" t="s">
        <v>491</v>
      </c>
      <c r="D44" s="433" t="s">
        <v>492</v>
      </c>
      <c r="E44" s="158" t="s">
        <v>486</v>
      </c>
      <c r="F44" s="434">
        <v>100000</v>
      </c>
      <c r="G44" s="160">
        <v>90030</v>
      </c>
      <c r="H44" s="432">
        <v>0</v>
      </c>
      <c r="I44" s="432">
        <f t="shared" si="1"/>
        <v>0</v>
      </c>
    </row>
    <row r="45" spans="1:13" hidden="1" x14ac:dyDescent="0.25">
      <c r="A45" s="567" t="s">
        <v>4</v>
      </c>
      <c r="B45" s="568"/>
      <c r="C45" s="568"/>
      <c r="D45" s="569"/>
      <c r="E45" s="435"/>
      <c r="F45" s="434">
        <f>SUM(F40:F44)</f>
        <v>9213105.6699999999</v>
      </c>
      <c r="G45" s="160">
        <f>SUM(G40:G44)</f>
        <v>4722058</v>
      </c>
      <c r="H45" s="434">
        <f>SUM(H40:H44)</f>
        <v>3635398.3</v>
      </c>
      <c r="I45" s="436">
        <f t="shared" si="1"/>
        <v>76.987582532870206</v>
      </c>
    </row>
    <row r="46" spans="1:13" ht="18" customHeight="1" x14ac:dyDescent="0.25">
      <c r="A46" s="570" t="s">
        <v>493</v>
      </c>
      <c r="B46" s="570"/>
      <c r="C46" s="570"/>
      <c r="D46" s="570"/>
      <c r="E46" s="570"/>
      <c r="F46" s="570"/>
      <c r="G46" s="570"/>
      <c r="H46" s="570"/>
      <c r="I46" s="570"/>
    </row>
    <row r="47" spans="1:13" ht="15" customHeight="1" x14ac:dyDescent="0.25">
      <c r="A47" s="545" t="s">
        <v>216</v>
      </c>
      <c r="B47" s="545" t="s">
        <v>2</v>
      </c>
      <c r="C47" s="545" t="s">
        <v>68</v>
      </c>
      <c r="D47" s="548" t="s">
        <v>478</v>
      </c>
      <c r="E47" s="548" t="s">
        <v>479</v>
      </c>
      <c r="F47" s="561" t="s">
        <v>480</v>
      </c>
      <c r="G47" s="561" t="s">
        <v>494</v>
      </c>
      <c r="H47" s="561" t="s">
        <v>495</v>
      </c>
      <c r="I47" s="561" t="s">
        <v>219</v>
      </c>
    </row>
    <row r="48" spans="1:13" x14ac:dyDescent="0.25">
      <c r="A48" s="546"/>
      <c r="B48" s="546"/>
      <c r="C48" s="546"/>
      <c r="D48" s="571"/>
      <c r="E48" s="571"/>
      <c r="F48" s="562"/>
      <c r="G48" s="562"/>
      <c r="H48" s="562"/>
      <c r="I48" s="562"/>
    </row>
    <row r="49" spans="1:9" x14ac:dyDescent="0.25">
      <c r="A49" s="546"/>
      <c r="B49" s="546"/>
      <c r="C49" s="546"/>
      <c r="D49" s="571"/>
      <c r="E49" s="571"/>
      <c r="F49" s="562"/>
      <c r="G49" s="562"/>
      <c r="H49" s="562"/>
      <c r="I49" s="562"/>
    </row>
    <row r="50" spans="1:9" x14ac:dyDescent="0.25">
      <c r="A50" s="546"/>
      <c r="B50" s="546"/>
      <c r="C50" s="546"/>
      <c r="D50" s="571"/>
      <c r="E50" s="571"/>
      <c r="F50" s="562"/>
      <c r="G50" s="562"/>
      <c r="H50" s="562"/>
      <c r="I50" s="562"/>
    </row>
    <row r="51" spans="1:9" x14ac:dyDescent="0.25">
      <c r="A51" s="547"/>
      <c r="B51" s="547"/>
      <c r="C51" s="547"/>
      <c r="D51" s="572"/>
      <c r="E51" s="572"/>
      <c r="F51" s="563"/>
      <c r="G51" s="563"/>
      <c r="H51" s="563"/>
      <c r="I51" s="563"/>
    </row>
    <row r="52" spans="1:9" x14ac:dyDescent="0.25">
      <c r="A52" s="93">
        <v>1</v>
      </c>
      <c r="B52" s="93">
        <v>2</v>
      </c>
      <c r="C52" s="93">
        <v>3</v>
      </c>
      <c r="D52" s="93">
        <v>4</v>
      </c>
      <c r="E52" s="93">
        <v>5</v>
      </c>
      <c r="F52" s="148">
        <v>6</v>
      </c>
      <c r="G52" s="148">
        <v>7</v>
      </c>
      <c r="H52" s="148">
        <v>15</v>
      </c>
      <c r="I52" s="148">
        <v>15</v>
      </c>
    </row>
    <row r="53" spans="1:9" ht="30" x14ac:dyDescent="0.25">
      <c r="A53" s="437">
        <v>1</v>
      </c>
      <c r="B53" s="438" t="s">
        <v>16</v>
      </c>
      <c r="C53" s="438" t="s">
        <v>398</v>
      </c>
      <c r="D53" s="439" t="s">
        <v>496</v>
      </c>
      <c r="E53" s="437" t="s">
        <v>497</v>
      </c>
      <c r="F53" s="440">
        <v>1997927</v>
      </c>
      <c r="G53" s="440">
        <v>1885927</v>
      </c>
      <c r="H53" s="441">
        <v>84560.89</v>
      </c>
      <c r="I53" s="432">
        <f t="shared" ref="I53:I58" si="2">H53/G53*100</f>
        <v>4.4837838368081053</v>
      </c>
    </row>
    <row r="54" spans="1:9" ht="30" x14ac:dyDescent="0.25">
      <c r="A54" s="442">
        <v>2</v>
      </c>
      <c r="B54" s="443" t="s">
        <v>16</v>
      </c>
      <c r="C54" s="443" t="s">
        <v>78</v>
      </c>
      <c r="D54" s="439" t="s">
        <v>498</v>
      </c>
      <c r="E54" s="442" t="s">
        <v>499</v>
      </c>
      <c r="F54" s="444">
        <f>1554545.68+657545.32</f>
        <v>2212091</v>
      </c>
      <c r="G54" s="444">
        <f>1554545.68+657545.32</f>
        <v>2212091</v>
      </c>
      <c r="H54" s="441">
        <f>1554544.95+347490.38</f>
        <v>1902035.33</v>
      </c>
      <c r="I54" s="432">
        <f t="shared" si="2"/>
        <v>85.983593351268112</v>
      </c>
    </row>
    <row r="55" spans="1:9" ht="30" x14ac:dyDescent="0.25">
      <c r="A55" s="442">
        <v>3</v>
      </c>
      <c r="B55" s="443" t="s">
        <v>19</v>
      </c>
      <c r="C55" s="443" t="s">
        <v>84</v>
      </c>
      <c r="D55" s="439" t="s">
        <v>500</v>
      </c>
      <c r="E55" s="442" t="s">
        <v>501</v>
      </c>
      <c r="F55" s="444">
        <v>44327</v>
      </c>
      <c r="G55" s="444">
        <v>18327</v>
      </c>
      <c r="H55" s="441">
        <v>18327</v>
      </c>
      <c r="I55" s="432">
        <f t="shared" si="2"/>
        <v>100</v>
      </c>
    </row>
    <row r="56" spans="1:9" ht="30" x14ac:dyDescent="0.25">
      <c r="A56" s="442">
        <v>4</v>
      </c>
      <c r="B56" s="443" t="s">
        <v>19</v>
      </c>
      <c r="C56" s="443" t="s">
        <v>84</v>
      </c>
      <c r="D56" s="439" t="s">
        <v>502</v>
      </c>
      <c r="E56" s="442" t="s">
        <v>497</v>
      </c>
      <c r="F56" s="444">
        <v>31100</v>
      </c>
      <c r="G56" s="444">
        <v>900</v>
      </c>
      <c r="H56" s="441">
        <v>900</v>
      </c>
      <c r="I56" s="432">
        <f t="shared" si="2"/>
        <v>100</v>
      </c>
    </row>
    <row r="57" spans="1:9" ht="33" customHeight="1" x14ac:dyDescent="0.25">
      <c r="A57" s="404">
        <v>5</v>
      </c>
      <c r="B57" s="445" t="s">
        <v>53</v>
      </c>
      <c r="C57" s="445" t="s">
        <v>134</v>
      </c>
      <c r="D57" s="446" t="s">
        <v>503</v>
      </c>
      <c r="E57" s="442" t="s">
        <v>504</v>
      </c>
      <c r="F57" s="444">
        <v>281874</v>
      </c>
      <c r="G57" s="444">
        <v>79967.58</v>
      </c>
      <c r="H57" s="447">
        <v>76981.649999999994</v>
      </c>
      <c r="I57" s="436">
        <f t="shared" si="2"/>
        <v>96.266074326620853</v>
      </c>
    </row>
    <row r="58" spans="1:9" x14ac:dyDescent="0.25">
      <c r="A58" s="564" t="s">
        <v>4</v>
      </c>
      <c r="B58" s="565"/>
      <c r="C58" s="565"/>
      <c r="D58" s="566"/>
      <c r="E58" s="448"/>
      <c r="F58" s="449">
        <f>SUM(F53:F57)</f>
        <v>4567319</v>
      </c>
      <c r="G58" s="449">
        <f>SUM(G53:G57)</f>
        <v>4197212.58</v>
      </c>
      <c r="H58" s="449">
        <f>SUM(H53:H57)</f>
        <v>2082804.8699999999</v>
      </c>
      <c r="I58" s="450">
        <f t="shared" si="2"/>
        <v>49.623525859154839</v>
      </c>
    </row>
  </sheetData>
  <mergeCells count="40">
    <mergeCell ref="A2:G2"/>
    <mergeCell ref="A3:M3"/>
    <mergeCell ref="A4:A8"/>
    <mergeCell ref="B4:B8"/>
    <mergeCell ref="C4:C8"/>
    <mergeCell ref="D4:D8"/>
    <mergeCell ref="E4:E8"/>
    <mergeCell ref="F4:F8"/>
    <mergeCell ref="G4:G8"/>
    <mergeCell ref="H4:L4"/>
    <mergeCell ref="M4:M8"/>
    <mergeCell ref="H5:H8"/>
    <mergeCell ref="I5:L5"/>
    <mergeCell ref="I6:I8"/>
    <mergeCell ref="J6:J8"/>
    <mergeCell ref="K6:K8"/>
    <mergeCell ref="L6:L8"/>
    <mergeCell ref="A29:D29"/>
    <mergeCell ref="A32:I32"/>
    <mergeCell ref="A34:A38"/>
    <mergeCell ref="B34:B38"/>
    <mergeCell ref="C34:C38"/>
    <mergeCell ref="D34:D38"/>
    <mergeCell ref="E34:E38"/>
    <mergeCell ref="F34:F38"/>
    <mergeCell ref="G34:G38"/>
    <mergeCell ref="H34:H38"/>
    <mergeCell ref="H47:H51"/>
    <mergeCell ref="I47:I51"/>
    <mergeCell ref="A58:D58"/>
    <mergeCell ref="I34:I38"/>
    <mergeCell ref="A45:D45"/>
    <mergeCell ref="A46:I46"/>
    <mergeCell ref="A47:A51"/>
    <mergeCell ref="B47:B51"/>
    <mergeCell ref="C47:C51"/>
    <mergeCell ref="D47:D51"/>
    <mergeCell ref="E47:E51"/>
    <mergeCell ref="F47:F51"/>
    <mergeCell ref="G47:G51"/>
  </mergeCells>
  <pageMargins left="0.19685039370078741" right="0.19685039370078741" top="0.2" bottom="0.21666666666666667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="130" zoomScaleNormal="130" workbookViewId="0">
      <selection activeCell="F5" sqref="F5"/>
    </sheetView>
  </sheetViews>
  <sheetFormatPr defaultRowHeight="15" x14ac:dyDescent="0.25"/>
  <cols>
    <col min="1" max="1" width="5.42578125" style="19" customWidth="1"/>
    <col min="2" max="2" width="7.42578125" style="19" customWidth="1"/>
    <col min="3" max="3" width="38.42578125" style="20" customWidth="1"/>
    <col min="4" max="4" width="11.85546875" style="21" customWidth="1"/>
    <col min="5" max="5" width="11" style="22" customWidth="1"/>
    <col min="6" max="6" width="7" style="23" customWidth="1"/>
    <col min="7" max="7" width="12.140625" customWidth="1"/>
    <col min="8" max="8" width="11.42578125" customWidth="1"/>
    <col min="9" max="9" width="7" customWidth="1"/>
    <col min="10" max="10" width="10.42578125" customWidth="1"/>
    <col min="11" max="11" width="11.140625" customWidth="1"/>
    <col min="12" max="12" width="7" customWidth="1"/>
    <col min="248" max="248" width="4.28515625" customWidth="1"/>
    <col min="249" max="249" width="7.140625" customWidth="1"/>
    <col min="250" max="250" width="0" hidden="1" customWidth="1"/>
    <col min="251" max="251" width="43.28515625" customWidth="1"/>
    <col min="252" max="252" width="10.7109375" customWidth="1"/>
    <col min="253" max="253" width="11" customWidth="1"/>
    <col min="254" max="254" width="8.42578125" customWidth="1"/>
    <col min="255" max="255" width="0.140625" customWidth="1"/>
    <col min="256" max="258" width="0" hidden="1" customWidth="1"/>
    <col min="259" max="259" width="11.5703125" customWidth="1"/>
    <col min="260" max="260" width="11" customWidth="1"/>
    <col min="261" max="261" width="8.140625" customWidth="1"/>
    <col min="262" max="262" width="10.85546875" customWidth="1"/>
    <col min="263" max="263" width="11.140625" customWidth="1"/>
    <col min="264" max="264" width="7.7109375" customWidth="1"/>
    <col min="504" max="504" width="4.28515625" customWidth="1"/>
    <col min="505" max="505" width="7.140625" customWidth="1"/>
    <col min="506" max="506" width="0" hidden="1" customWidth="1"/>
    <col min="507" max="507" width="43.28515625" customWidth="1"/>
    <col min="508" max="508" width="10.7109375" customWidth="1"/>
    <col min="509" max="509" width="11" customWidth="1"/>
    <col min="510" max="510" width="8.42578125" customWidth="1"/>
    <col min="511" max="511" width="0.140625" customWidth="1"/>
    <col min="512" max="514" width="0" hidden="1" customWidth="1"/>
    <col min="515" max="515" width="11.5703125" customWidth="1"/>
    <col min="516" max="516" width="11" customWidth="1"/>
    <col min="517" max="517" width="8.140625" customWidth="1"/>
    <col min="518" max="518" width="10.85546875" customWidth="1"/>
    <col min="519" max="519" width="11.140625" customWidth="1"/>
    <col min="520" max="520" width="7.7109375" customWidth="1"/>
    <col min="760" max="760" width="4.28515625" customWidth="1"/>
    <col min="761" max="761" width="7.140625" customWidth="1"/>
    <col min="762" max="762" width="0" hidden="1" customWidth="1"/>
    <col min="763" max="763" width="43.28515625" customWidth="1"/>
    <col min="764" max="764" width="10.7109375" customWidth="1"/>
    <col min="765" max="765" width="11" customWidth="1"/>
    <col min="766" max="766" width="8.42578125" customWidth="1"/>
    <col min="767" max="767" width="0.140625" customWidth="1"/>
    <col min="768" max="770" width="0" hidden="1" customWidth="1"/>
    <col min="771" max="771" width="11.5703125" customWidth="1"/>
    <col min="772" max="772" width="11" customWidth="1"/>
    <col min="773" max="773" width="8.140625" customWidth="1"/>
    <col min="774" max="774" width="10.85546875" customWidth="1"/>
    <col min="775" max="775" width="11.140625" customWidth="1"/>
    <col min="776" max="776" width="7.7109375" customWidth="1"/>
    <col min="1016" max="1016" width="4.28515625" customWidth="1"/>
    <col min="1017" max="1017" width="7.140625" customWidth="1"/>
    <col min="1018" max="1018" width="0" hidden="1" customWidth="1"/>
    <col min="1019" max="1019" width="43.28515625" customWidth="1"/>
    <col min="1020" max="1020" width="10.7109375" customWidth="1"/>
    <col min="1021" max="1021" width="11" customWidth="1"/>
    <col min="1022" max="1022" width="8.42578125" customWidth="1"/>
    <col min="1023" max="1023" width="0.140625" customWidth="1"/>
    <col min="1024" max="1026" width="0" hidden="1" customWidth="1"/>
    <col min="1027" max="1027" width="11.5703125" customWidth="1"/>
    <col min="1028" max="1028" width="11" customWidth="1"/>
    <col min="1029" max="1029" width="8.140625" customWidth="1"/>
    <col min="1030" max="1030" width="10.85546875" customWidth="1"/>
    <col min="1031" max="1031" width="11.140625" customWidth="1"/>
    <col min="1032" max="1032" width="7.7109375" customWidth="1"/>
    <col min="1272" max="1272" width="4.28515625" customWidth="1"/>
    <col min="1273" max="1273" width="7.140625" customWidth="1"/>
    <col min="1274" max="1274" width="0" hidden="1" customWidth="1"/>
    <col min="1275" max="1275" width="43.28515625" customWidth="1"/>
    <col min="1276" max="1276" width="10.7109375" customWidth="1"/>
    <col min="1277" max="1277" width="11" customWidth="1"/>
    <col min="1278" max="1278" width="8.42578125" customWidth="1"/>
    <col min="1279" max="1279" width="0.140625" customWidth="1"/>
    <col min="1280" max="1282" width="0" hidden="1" customWidth="1"/>
    <col min="1283" max="1283" width="11.5703125" customWidth="1"/>
    <col min="1284" max="1284" width="11" customWidth="1"/>
    <col min="1285" max="1285" width="8.140625" customWidth="1"/>
    <col min="1286" max="1286" width="10.85546875" customWidth="1"/>
    <col min="1287" max="1287" width="11.140625" customWidth="1"/>
    <col min="1288" max="1288" width="7.7109375" customWidth="1"/>
    <col min="1528" max="1528" width="4.28515625" customWidth="1"/>
    <col min="1529" max="1529" width="7.140625" customWidth="1"/>
    <col min="1530" max="1530" width="0" hidden="1" customWidth="1"/>
    <col min="1531" max="1531" width="43.28515625" customWidth="1"/>
    <col min="1532" max="1532" width="10.7109375" customWidth="1"/>
    <col min="1533" max="1533" width="11" customWidth="1"/>
    <col min="1534" max="1534" width="8.42578125" customWidth="1"/>
    <col min="1535" max="1535" width="0.140625" customWidth="1"/>
    <col min="1536" max="1538" width="0" hidden="1" customWidth="1"/>
    <col min="1539" max="1539" width="11.5703125" customWidth="1"/>
    <col min="1540" max="1540" width="11" customWidth="1"/>
    <col min="1541" max="1541" width="8.140625" customWidth="1"/>
    <col min="1542" max="1542" width="10.85546875" customWidth="1"/>
    <col min="1543" max="1543" width="11.140625" customWidth="1"/>
    <col min="1544" max="1544" width="7.7109375" customWidth="1"/>
    <col min="1784" max="1784" width="4.28515625" customWidth="1"/>
    <col min="1785" max="1785" width="7.140625" customWidth="1"/>
    <col min="1786" max="1786" width="0" hidden="1" customWidth="1"/>
    <col min="1787" max="1787" width="43.28515625" customWidth="1"/>
    <col min="1788" max="1788" width="10.7109375" customWidth="1"/>
    <col min="1789" max="1789" width="11" customWidth="1"/>
    <col min="1790" max="1790" width="8.42578125" customWidth="1"/>
    <col min="1791" max="1791" width="0.140625" customWidth="1"/>
    <col min="1792" max="1794" width="0" hidden="1" customWidth="1"/>
    <col min="1795" max="1795" width="11.5703125" customWidth="1"/>
    <col min="1796" max="1796" width="11" customWidth="1"/>
    <col min="1797" max="1797" width="8.140625" customWidth="1"/>
    <col min="1798" max="1798" width="10.85546875" customWidth="1"/>
    <col min="1799" max="1799" width="11.140625" customWidth="1"/>
    <col min="1800" max="1800" width="7.7109375" customWidth="1"/>
    <col min="2040" max="2040" width="4.28515625" customWidth="1"/>
    <col min="2041" max="2041" width="7.140625" customWidth="1"/>
    <col min="2042" max="2042" width="0" hidden="1" customWidth="1"/>
    <col min="2043" max="2043" width="43.28515625" customWidth="1"/>
    <col min="2044" max="2044" width="10.7109375" customWidth="1"/>
    <col min="2045" max="2045" width="11" customWidth="1"/>
    <col min="2046" max="2046" width="8.42578125" customWidth="1"/>
    <col min="2047" max="2047" width="0.140625" customWidth="1"/>
    <col min="2048" max="2050" width="0" hidden="1" customWidth="1"/>
    <col min="2051" max="2051" width="11.5703125" customWidth="1"/>
    <col min="2052" max="2052" width="11" customWidth="1"/>
    <col min="2053" max="2053" width="8.140625" customWidth="1"/>
    <col min="2054" max="2054" width="10.85546875" customWidth="1"/>
    <col min="2055" max="2055" width="11.140625" customWidth="1"/>
    <col min="2056" max="2056" width="7.7109375" customWidth="1"/>
    <col min="2296" max="2296" width="4.28515625" customWidth="1"/>
    <col min="2297" max="2297" width="7.140625" customWidth="1"/>
    <col min="2298" max="2298" width="0" hidden="1" customWidth="1"/>
    <col min="2299" max="2299" width="43.28515625" customWidth="1"/>
    <col min="2300" max="2300" width="10.7109375" customWidth="1"/>
    <col min="2301" max="2301" width="11" customWidth="1"/>
    <col min="2302" max="2302" width="8.42578125" customWidth="1"/>
    <col min="2303" max="2303" width="0.140625" customWidth="1"/>
    <col min="2304" max="2306" width="0" hidden="1" customWidth="1"/>
    <col min="2307" max="2307" width="11.5703125" customWidth="1"/>
    <col min="2308" max="2308" width="11" customWidth="1"/>
    <col min="2309" max="2309" width="8.140625" customWidth="1"/>
    <col min="2310" max="2310" width="10.85546875" customWidth="1"/>
    <col min="2311" max="2311" width="11.140625" customWidth="1"/>
    <col min="2312" max="2312" width="7.7109375" customWidth="1"/>
    <col min="2552" max="2552" width="4.28515625" customWidth="1"/>
    <col min="2553" max="2553" width="7.140625" customWidth="1"/>
    <col min="2554" max="2554" width="0" hidden="1" customWidth="1"/>
    <col min="2555" max="2555" width="43.28515625" customWidth="1"/>
    <col min="2556" max="2556" width="10.7109375" customWidth="1"/>
    <col min="2557" max="2557" width="11" customWidth="1"/>
    <col min="2558" max="2558" width="8.42578125" customWidth="1"/>
    <col min="2559" max="2559" width="0.140625" customWidth="1"/>
    <col min="2560" max="2562" width="0" hidden="1" customWidth="1"/>
    <col min="2563" max="2563" width="11.5703125" customWidth="1"/>
    <col min="2564" max="2564" width="11" customWidth="1"/>
    <col min="2565" max="2565" width="8.140625" customWidth="1"/>
    <col min="2566" max="2566" width="10.85546875" customWidth="1"/>
    <col min="2567" max="2567" width="11.140625" customWidth="1"/>
    <col min="2568" max="2568" width="7.7109375" customWidth="1"/>
    <col min="2808" max="2808" width="4.28515625" customWidth="1"/>
    <col min="2809" max="2809" width="7.140625" customWidth="1"/>
    <col min="2810" max="2810" width="0" hidden="1" customWidth="1"/>
    <col min="2811" max="2811" width="43.28515625" customWidth="1"/>
    <col min="2812" max="2812" width="10.7109375" customWidth="1"/>
    <col min="2813" max="2813" width="11" customWidth="1"/>
    <col min="2814" max="2814" width="8.42578125" customWidth="1"/>
    <col min="2815" max="2815" width="0.140625" customWidth="1"/>
    <col min="2816" max="2818" width="0" hidden="1" customWidth="1"/>
    <col min="2819" max="2819" width="11.5703125" customWidth="1"/>
    <col min="2820" max="2820" width="11" customWidth="1"/>
    <col min="2821" max="2821" width="8.140625" customWidth="1"/>
    <col min="2822" max="2822" width="10.85546875" customWidth="1"/>
    <col min="2823" max="2823" width="11.140625" customWidth="1"/>
    <col min="2824" max="2824" width="7.7109375" customWidth="1"/>
    <col min="3064" max="3064" width="4.28515625" customWidth="1"/>
    <col min="3065" max="3065" width="7.140625" customWidth="1"/>
    <col min="3066" max="3066" width="0" hidden="1" customWidth="1"/>
    <col min="3067" max="3067" width="43.28515625" customWidth="1"/>
    <col min="3068" max="3068" width="10.7109375" customWidth="1"/>
    <col min="3069" max="3069" width="11" customWidth="1"/>
    <col min="3070" max="3070" width="8.42578125" customWidth="1"/>
    <col min="3071" max="3071" width="0.140625" customWidth="1"/>
    <col min="3072" max="3074" width="0" hidden="1" customWidth="1"/>
    <col min="3075" max="3075" width="11.5703125" customWidth="1"/>
    <col min="3076" max="3076" width="11" customWidth="1"/>
    <col min="3077" max="3077" width="8.140625" customWidth="1"/>
    <col min="3078" max="3078" width="10.85546875" customWidth="1"/>
    <col min="3079" max="3079" width="11.140625" customWidth="1"/>
    <col min="3080" max="3080" width="7.7109375" customWidth="1"/>
    <col min="3320" max="3320" width="4.28515625" customWidth="1"/>
    <col min="3321" max="3321" width="7.140625" customWidth="1"/>
    <col min="3322" max="3322" width="0" hidden="1" customWidth="1"/>
    <col min="3323" max="3323" width="43.28515625" customWidth="1"/>
    <col min="3324" max="3324" width="10.7109375" customWidth="1"/>
    <col min="3325" max="3325" width="11" customWidth="1"/>
    <col min="3326" max="3326" width="8.42578125" customWidth="1"/>
    <col min="3327" max="3327" width="0.140625" customWidth="1"/>
    <col min="3328" max="3330" width="0" hidden="1" customWidth="1"/>
    <col min="3331" max="3331" width="11.5703125" customWidth="1"/>
    <col min="3332" max="3332" width="11" customWidth="1"/>
    <col min="3333" max="3333" width="8.140625" customWidth="1"/>
    <col min="3334" max="3334" width="10.85546875" customWidth="1"/>
    <col min="3335" max="3335" width="11.140625" customWidth="1"/>
    <col min="3336" max="3336" width="7.7109375" customWidth="1"/>
    <col min="3576" max="3576" width="4.28515625" customWidth="1"/>
    <col min="3577" max="3577" width="7.140625" customWidth="1"/>
    <col min="3578" max="3578" width="0" hidden="1" customWidth="1"/>
    <col min="3579" max="3579" width="43.28515625" customWidth="1"/>
    <col min="3580" max="3580" width="10.7109375" customWidth="1"/>
    <col min="3581" max="3581" width="11" customWidth="1"/>
    <col min="3582" max="3582" width="8.42578125" customWidth="1"/>
    <col min="3583" max="3583" width="0.140625" customWidth="1"/>
    <col min="3584" max="3586" width="0" hidden="1" customWidth="1"/>
    <col min="3587" max="3587" width="11.5703125" customWidth="1"/>
    <col min="3588" max="3588" width="11" customWidth="1"/>
    <col min="3589" max="3589" width="8.140625" customWidth="1"/>
    <col min="3590" max="3590" width="10.85546875" customWidth="1"/>
    <col min="3591" max="3591" width="11.140625" customWidth="1"/>
    <col min="3592" max="3592" width="7.7109375" customWidth="1"/>
    <col min="3832" max="3832" width="4.28515625" customWidth="1"/>
    <col min="3833" max="3833" width="7.140625" customWidth="1"/>
    <col min="3834" max="3834" width="0" hidden="1" customWidth="1"/>
    <col min="3835" max="3835" width="43.28515625" customWidth="1"/>
    <col min="3836" max="3836" width="10.7109375" customWidth="1"/>
    <col min="3837" max="3837" width="11" customWidth="1"/>
    <col min="3838" max="3838" width="8.42578125" customWidth="1"/>
    <col min="3839" max="3839" width="0.140625" customWidth="1"/>
    <col min="3840" max="3842" width="0" hidden="1" customWidth="1"/>
    <col min="3843" max="3843" width="11.5703125" customWidth="1"/>
    <col min="3844" max="3844" width="11" customWidth="1"/>
    <col min="3845" max="3845" width="8.140625" customWidth="1"/>
    <col min="3846" max="3846" width="10.85546875" customWidth="1"/>
    <col min="3847" max="3847" width="11.140625" customWidth="1"/>
    <col min="3848" max="3848" width="7.7109375" customWidth="1"/>
    <col min="4088" max="4088" width="4.28515625" customWidth="1"/>
    <col min="4089" max="4089" width="7.140625" customWidth="1"/>
    <col min="4090" max="4090" width="0" hidden="1" customWidth="1"/>
    <col min="4091" max="4091" width="43.28515625" customWidth="1"/>
    <col min="4092" max="4092" width="10.7109375" customWidth="1"/>
    <col min="4093" max="4093" width="11" customWidth="1"/>
    <col min="4094" max="4094" width="8.42578125" customWidth="1"/>
    <col min="4095" max="4095" width="0.140625" customWidth="1"/>
    <col min="4096" max="4098" width="0" hidden="1" customWidth="1"/>
    <col min="4099" max="4099" width="11.5703125" customWidth="1"/>
    <col min="4100" max="4100" width="11" customWidth="1"/>
    <col min="4101" max="4101" width="8.140625" customWidth="1"/>
    <col min="4102" max="4102" width="10.85546875" customWidth="1"/>
    <col min="4103" max="4103" width="11.140625" customWidth="1"/>
    <col min="4104" max="4104" width="7.7109375" customWidth="1"/>
    <col min="4344" max="4344" width="4.28515625" customWidth="1"/>
    <col min="4345" max="4345" width="7.140625" customWidth="1"/>
    <col min="4346" max="4346" width="0" hidden="1" customWidth="1"/>
    <col min="4347" max="4347" width="43.28515625" customWidth="1"/>
    <col min="4348" max="4348" width="10.7109375" customWidth="1"/>
    <col min="4349" max="4349" width="11" customWidth="1"/>
    <col min="4350" max="4350" width="8.42578125" customWidth="1"/>
    <col min="4351" max="4351" width="0.140625" customWidth="1"/>
    <col min="4352" max="4354" width="0" hidden="1" customWidth="1"/>
    <col min="4355" max="4355" width="11.5703125" customWidth="1"/>
    <col min="4356" max="4356" width="11" customWidth="1"/>
    <col min="4357" max="4357" width="8.140625" customWidth="1"/>
    <col min="4358" max="4358" width="10.85546875" customWidth="1"/>
    <col min="4359" max="4359" width="11.140625" customWidth="1"/>
    <col min="4360" max="4360" width="7.7109375" customWidth="1"/>
    <col min="4600" max="4600" width="4.28515625" customWidth="1"/>
    <col min="4601" max="4601" width="7.140625" customWidth="1"/>
    <col min="4602" max="4602" width="0" hidden="1" customWidth="1"/>
    <col min="4603" max="4603" width="43.28515625" customWidth="1"/>
    <col min="4604" max="4604" width="10.7109375" customWidth="1"/>
    <col min="4605" max="4605" width="11" customWidth="1"/>
    <col min="4606" max="4606" width="8.42578125" customWidth="1"/>
    <col min="4607" max="4607" width="0.140625" customWidth="1"/>
    <col min="4608" max="4610" width="0" hidden="1" customWidth="1"/>
    <col min="4611" max="4611" width="11.5703125" customWidth="1"/>
    <col min="4612" max="4612" width="11" customWidth="1"/>
    <col min="4613" max="4613" width="8.140625" customWidth="1"/>
    <col min="4614" max="4614" width="10.85546875" customWidth="1"/>
    <col min="4615" max="4615" width="11.140625" customWidth="1"/>
    <col min="4616" max="4616" width="7.7109375" customWidth="1"/>
    <col min="4856" max="4856" width="4.28515625" customWidth="1"/>
    <col min="4857" max="4857" width="7.140625" customWidth="1"/>
    <col min="4858" max="4858" width="0" hidden="1" customWidth="1"/>
    <col min="4859" max="4859" width="43.28515625" customWidth="1"/>
    <col min="4860" max="4860" width="10.7109375" customWidth="1"/>
    <col min="4861" max="4861" width="11" customWidth="1"/>
    <col min="4862" max="4862" width="8.42578125" customWidth="1"/>
    <col min="4863" max="4863" width="0.140625" customWidth="1"/>
    <col min="4864" max="4866" width="0" hidden="1" customWidth="1"/>
    <col min="4867" max="4867" width="11.5703125" customWidth="1"/>
    <col min="4868" max="4868" width="11" customWidth="1"/>
    <col min="4869" max="4869" width="8.140625" customWidth="1"/>
    <col min="4870" max="4870" width="10.85546875" customWidth="1"/>
    <col min="4871" max="4871" width="11.140625" customWidth="1"/>
    <col min="4872" max="4872" width="7.7109375" customWidth="1"/>
    <col min="5112" max="5112" width="4.28515625" customWidth="1"/>
    <col min="5113" max="5113" width="7.140625" customWidth="1"/>
    <col min="5114" max="5114" width="0" hidden="1" customWidth="1"/>
    <col min="5115" max="5115" width="43.28515625" customWidth="1"/>
    <col min="5116" max="5116" width="10.7109375" customWidth="1"/>
    <col min="5117" max="5117" width="11" customWidth="1"/>
    <col min="5118" max="5118" width="8.42578125" customWidth="1"/>
    <col min="5119" max="5119" width="0.140625" customWidth="1"/>
    <col min="5120" max="5122" width="0" hidden="1" customWidth="1"/>
    <col min="5123" max="5123" width="11.5703125" customWidth="1"/>
    <col min="5124" max="5124" width="11" customWidth="1"/>
    <col min="5125" max="5125" width="8.140625" customWidth="1"/>
    <col min="5126" max="5126" width="10.85546875" customWidth="1"/>
    <col min="5127" max="5127" width="11.140625" customWidth="1"/>
    <col min="5128" max="5128" width="7.7109375" customWidth="1"/>
    <col min="5368" max="5368" width="4.28515625" customWidth="1"/>
    <col min="5369" max="5369" width="7.140625" customWidth="1"/>
    <col min="5370" max="5370" width="0" hidden="1" customWidth="1"/>
    <col min="5371" max="5371" width="43.28515625" customWidth="1"/>
    <col min="5372" max="5372" width="10.7109375" customWidth="1"/>
    <col min="5373" max="5373" width="11" customWidth="1"/>
    <col min="5374" max="5374" width="8.42578125" customWidth="1"/>
    <col min="5375" max="5375" width="0.140625" customWidth="1"/>
    <col min="5376" max="5378" width="0" hidden="1" customWidth="1"/>
    <col min="5379" max="5379" width="11.5703125" customWidth="1"/>
    <col min="5380" max="5380" width="11" customWidth="1"/>
    <col min="5381" max="5381" width="8.140625" customWidth="1"/>
    <col min="5382" max="5382" width="10.85546875" customWidth="1"/>
    <col min="5383" max="5383" width="11.140625" customWidth="1"/>
    <col min="5384" max="5384" width="7.7109375" customWidth="1"/>
    <col min="5624" max="5624" width="4.28515625" customWidth="1"/>
    <col min="5625" max="5625" width="7.140625" customWidth="1"/>
    <col min="5626" max="5626" width="0" hidden="1" customWidth="1"/>
    <col min="5627" max="5627" width="43.28515625" customWidth="1"/>
    <col min="5628" max="5628" width="10.7109375" customWidth="1"/>
    <col min="5629" max="5629" width="11" customWidth="1"/>
    <col min="5630" max="5630" width="8.42578125" customWidth="1"/>
    <col min="5631" max="5631" width="0.140625" customWidth="1"/>
    <col min="5632" max="5634" width="0" hidden="1" customWidth="1"/>
    <col min="5635" max="5635" width="11.5703125" customWidth="1"/>
    <col min="5636" max="5636" width="11" customWidth="1"/>
    <col min="5637" max="5637" width="8.140625" customWidth="1"/>
    <col min="5638" max="5638" width="10.85546875" customWidth="1"/>
    <col min="5639" max="5639" width="11.140625" customWidth="1"/>
    <col min="5640" max="5640" width="7.7109375" customWidth="1"/>
    <col min="5880" max="5880" width="4.28515625" customWidth="1"/>
    <col min="5881" max="5881" width="7.140625" customWidth="1"/>
    <col min="5882" max="5882" width="0" hidden="1" customWidth="1"/>
    <col min="5883" max="5883" width="43.28515625" customWidth="1"/>
    <col min="5884" max="5884" width="10.7109375" customWidth="1"/>
    <col min="5885" max="5885" width="11" customWidth="1"/>
    <col min="5886" max="5886" width="8.42578125" customWidth="1"/>
    <col min="5887" max="5887" width="0.140625" customWidth="1"/>
    <col min="5888" max="5890" width="0" hidden="1" customWidth="1"/>
    <col min="5891" max="5891" width="11.5703125" customWidth="1"/>
    <col min="5892" max="5892" width="11" customWidth="1"/>
    <col min="5893" max="5893" width="8.140625" customWidth="1"/>
    <col min="5894" max="5894" width="10.85546875" customWidth="1"/>
    <col min="5895" max="5895" width="11.140625" customWidth="1"/>
    <col min="5896" max="5896" width="7.7109375" customWidth="1"/>
    <col min="6136" max="6136" width="4.28515625" customWidth="1"/>
    <col min="6137" max="6137" width="7.140625" customWidth="1"/>
    <col min="6138" max="6138" width="0" hidden="1" customWidth="1"/>
    <col min="6139" max="6139" width="43.28515625" customWidth="1"/>
    <col min="6140" max="6140" width="10.7109375" customWidth="1"/>
    <col min="6141" max="6141" width="11" customWidth="1"/>
    <col min="6142" max="6142" width="8.42578125" customWidth="1"/>
    <col min="6143" max="6143" width="0.140625" customWidth="1"/>
    <col min="6144" max="6146" width="0" hidden="1" customWidth="1"/>
    <col min="6147" max="6147" width="11.5703125" customWidth="1"/>
    <col min="6148" max="6148" width="11" customWidth="1"/>
    <col min="6149" max="6149" width="8.140625" customWidth="1"/>
    <col min="6150" max="6150" width="10.85546875" customWidth="1"/>
    <col min="6151" max="6151" width="11.140625" customWidth="1"/>
    <col min="6152" max="6152" width="7.7109375" customWidth="1"/>
    <col min="6392" max="6392" width="4.28515625" customWidth="1"/>
    <col min="6393" max="6393" width="7.140625" customWidth="1"/>
    <col min="6394" max="6394" width="0" hidden="1" customWidth="1"/>
    <col min="6395" max="6395" width="43.28515625" customWidth="1"/>
    <col min="6396" max="6396" width="10.7109375" customWidth="1"/>
    <col min="6397" max="6397" width="11" customWidth="1"/>
    <col min="6398" max="6398" width="8.42578125" customWidth="1"/>
    <col min="6399" max="6399" width="0.140625" customWidth="1"/>
    <col min="6400" max="6402" width="0" hidden="1" customWidth="1"/>
    <col min="6403" max="6403" width="11.5703125" customWidth="1"/>
    <col min="6404" max="6404" width="11" customWidth="1"/>
    <col min="6405" max="6405" width="8.140625" customWidth="1"/>
    <col min="6406" max="6406" width="10.85546875" customWidth="1"/>
    <col min="6407" max="6407" width="11.140625" customWidth="1"/>
    <col min="6408" max="6408" width="7.7109375" customWidth="1"/>
    <col min="6648" max="6648" width="4.28515625" customWidth="1"/>
    <col min="6649" max="6649" width="7.140625" customWidth="1"/>
    <col min="6650" max="6650" width="0" hidden="1" customWidth="1"/>
    <col min="6651" max="6651" width="43.28515625" customWidth="1"/>
    <col min="6652" max="6652" width="10.7109375" customWidth="1"/>
    <col min="6653" max="6653" width="11" customWidth="1"/>
    <col min="6654" max="6654" width="8.42578125" customWidth="1"/>
    <col min="6655" max="6655" width="0.140625" customWidth="1"/>
    <col min="6656" max="6658" width="0" hidden="1" customWidth="1"/>
    <col min="6659" max="6659" width="11.5703125" customWidth="1"/>
    <col min="6660" max="6660" width="11" customWidth="1"/>
    <col min="6661" max="6661" width="8.140625" customWidth="1"/>
    <col min="6662" max="6662" width="10.85546875" customWidth="1"/>
    <col min="6663" max="6663" width="11.140625" customWidth="1"/>
    <col min="6664" max="6664" width="7.7109375" customWidth="1"/>
    <col min="6904" max="6904" width="4.28515625" customWidth="1"/>
    <col min="6905" max="6905" width="7.140625" customWidth="1"/>
    <col min="6906" max="6906" width="0" hidden="1" customWidth="1"/>
    <col min="6907" max="6907" width="43.28515625" customWidth="1"/>
    <col min="6908" max="6908" width="10.7109375" customWidth="1"/>
    <col min="6909" max="6909" width="11" customWidth="1"/>
    <col min="6910" max="6910" width="8.42578125" customWidth="1"/>
    <col min="6911" max="6911" width="0.140625" customWidth="1"/>
    <col min="6912" max="6914" width="0" hidden="1" customWidth="1"/>
    <col min="6915" max="6915" width="11.5703125" customWidth="1"/>
    <col min="6916" max="6916" width="11" customWidth="1"/>
    <col min="6917" max="6917" width="8.140625" customWidth="1"/>
    <col min="6918" max="6918" width="10.85546875" customWidth="1"/>
    <col min="6919" max="6919" width="11.140625" customWidth="1"/>
    <col min="6920" max="6920" width="7.7109375" customWidth="1"/>
    <col min="7160" max="7160" width="4.28515625" customWidth="1"/>
    <col min="7161" max="7161" width="7.140625" customWidth="1"/>
    <col min="7162" max="7162" width="0" hidden="1" customWidth="1"/>
    <col min="7163" max="7163" width="43.28515625" customWidth="1"/>
    <col min="7164" max="7164" width="10.7109375" customWidth="1"/>
    <col min="7165" max="7165" width="11" customWidth="1"/>
    <col min="7166" max="7166" width="8.42578125" customWidth="1"/>
    <col min="7167" max="7167" width="0.140625" customWidth="1"/>
    <col min="7168" max="7170" width="0" hidden="1" customWidth="1"/>
    <col min="7171" max="7171" width="11.5703125" customWidth="1"/>
    <col min="7172" max="7172" width="11" customWidth="1"/>
    <col min="7173" max="7173" width="8.140625" customWidth="1"/>
    <col min="7174" max="7174" width="10.85546875" customWidth="1"/>
    <col min="7175" max="7175" width="11.140625" customWidth="1"/>
    <col min="7176" max="7176" width="7.7109375" customWidth="1"/>
    <col min="7416" max="7416" width="4.28515625" customWidth="1"/>
    <col min="7417" max="7417" width="7.140625" customWidth="1"/>
    <col min="7418" max="7418" width="0" hidden="1" customWidth="1"/>
    <col min="7419" max="7419" width="43.28515625" customWidth="1"/>
    <col min="7420" max="7420" width="10.7109375" customWidth="1"/>
    <col min="7421" max="7421" width="11" customWidth="1"/>
    <col min="7422" max="7422" width="8.42578125" customWidth="1"/>
    <col min="7423" max="7423" width="0.140625" customWidth="1"/>
    <col min="7424" max="7426" width="0" hidden="1" customWidth="1"/>
    <col min="7427" max="7427" width="11.5703125" customWidth="1"/>
    <col min="7428" max="7428" width="11" customWidth="1"/>
    <col min="7429" max="7429" width="8.140625" customWidth="1"/>
    <col min="7430" max="7430" width="10.85546875" customWidth="1"/>
    <col min="7431" max="7431" width="11.140625" customWidth="1"/>
    <col min="7432" max="7432" width="7.7109375" customWidth="1"/>
    <col min="7672" max="7672" width="4.28515625" customWidth="1"/>
    <col min="7673" max="7673" width="7.140625" customWidth="1"/>
    <col min="7674" max="7674" width="0" hidden="1" customWidth="1"/>
    <col min="7675" max="7675" width="43.28515625" customWidth="1"/>
    <col min="7676" max="7676" width="10.7109375" customWidth="1"/>
    <col min="7677" max="7677" width="11" customWidth="1"/>
    <col min="7678" max="7678" width="8.42578125" customWidth="1"/>
    <col min="7679" max="7679" width="0.140625" customWidth="1"/>
    <col min="7680" max="7682" width="0" hidden="1" customWidth="1"/>
    <col min="7683" max="7683" width="11.5703125" customWidth="1"/>
    <col min="7684" max="7684" width="11" customWidth="1"/>
    <col min="7685" max="7685" width="8.140625" customWidth="1"/>
    <col min="7686" max="7686" width="10.85546875" customWidth="1"/>
    <col min="7687" max="7687" width="11.140625" customWidth="1"/>
    <col min="7688" max="7688" width="7.7109375" customWidth="1"/>
    <col min="7928" max="7928" width="4.28515625" customWidth="1"/>
    <col min="7929" max="7929" width="7.140625" customWidth="1"/>
    <col min="7930" max="7930" width="0" hidden="1" customWidth="1"/>
    <col min="7931" max="7931" width="43.28515625" customWidth="1"/>
    <col min="7932" max="7932" width="10.7109375" customWidth="1"/>
    <col min="7933" max="7933" width="11" customWidth="1"/>
    <col min="7934" max="7934" width="8.42578125" customWidth="1"/>
    <col min="7935" max="7935" width="0.140625" customWidth="1"/>
    <col min="7936" max="7938" width="0" hidden="1" customWidth="1"/>
    <col min="7939" max="7939" width="11.5703125" customWidth="1"/>
    <col min="7940" max="7940" width="11" customWidth="1"/>
    <col min="7941" max="7941" width="8.140625" customWidth="1"/>
    <col min="7942" max="7942" width="10.85546875" customWidth="1"/>
    <col min="7943" max="7943" width="11.140625" customWidth="1"/>
    <col min="7944" max="7944" width="7.7109375" customWidth="1"/>
    <col min="8184" max="8184" width="4.28515625" customWidth="1"/>
    <col min="8185" max="8185" width="7.140625" customWidth="1"/>
    <col min="8186" max="8186" width="0" hidden="1" customWidth="1"/>
    <col min="8187" max="8187" width="43.28515625" customWidth="1"/>
    <col min="8188" max="8188" width="10.7109375" customWidth="1"/>
    <col min="8189" max="8189" width="11" customWidth="1"/>
    <col min="8190" max="8190" width="8.42578125" customWidth="1"/>
    <col min="8191" max="8191" width="0.140625" customWidth="1"/>
    <col min="8192" max="8194" width="0" hidden="1" customWidth="1"/>
    <col min="8195" max="8195" width="11.5703125" customWidth="1"/>
    <col min="8196" max="8196" width="11" customWidth="1"/>
    <col min="8197" max="8197" width="8.140625" customWidth="1"/>
    <col min="8198" max="8198" width="10.85546875" customWidth="1"/>
    <col min="8199" max="8199" width="11.140625" customWidth="1"/>
    <col min="8200" max="8200" width="7.7109375" customWidth="1"/>
    <col min="8440" max="8440" width="4.28515625" customWidth="1"/>
    <col min="8441" max="8441" width="7.140625" customWidth="1"/>
    <col min="8442" max="8442" width="0" hidden="1" customWidth="1"/>
    <col min="8443" max="8443" width="43.28515625" customWidth="1"/>
    <col min="8444" max="8444" width="10.7109375" customWidth="1"/>
    <col min="8445" max="8445" width="11" customWidth="1"/>
    <col min="8446" max="8446" width="8.42578125" customWidth="1"/>
    <col min="8447" max="8447" width="0.140625" customWidth="1"/>
    <col min="8448" max="8450" width="0" hidden="1" customWidth="1"/>
    <col min="8451" max="8451" width="11.5703125" customWidth="1"/>
    <col min="8452" max="8452" width="11" customWidth="1"/>
    <col min="8453" max="8453" width="8.140625" customWidth="1"/>
    <col min="8454" max="8454" width="10.85546875" customWidth="1"/>
    <col min="8455" max="8455" width="11.140625" customWidth="1"/>
    <col min="8456" max="8456" width="7.7109375" customWidth="1"/>
    <col min="8696" max="8696" width="4.28515625" customWidth="1"/>
    <col min="8697" max="8697" width="7.140625" customWidth="1"/>
    <col min="8698" max="8698" width="0" hidden="1" customWidth="1"/>
    <col min="8699" max="8699" width="43.28515625" customWidth="1"/>
    <col min="8700" max="8700" width="10.7109375" customWidth="1"/>
    <col min="8701" max="8701" width="11" customWidth="1"/>
    <col min="8702" max="8702" width="8.42578125" customWidth="1"/>
    <col min="8703" max="8703" width="0.140625" customWidth="1"/>
    <col min="8704" max="8706" width="0" hidden="1" customWidth="1"/>
    <col min="8707" max="8707" width="11.5703125" customWidth="1"/>
    <col min="8708" max="8708" width="11" customWidth="1"/>
    <col min="8709" max="8709" width="8.140625" customWidth="1"/>
    <col min="8710" max="8710" width="10.85546875" customWidth="1"/>
    <col min="8711" max="8711" width="11.140625" customWidth="1"/>
    <col min="8712" max="8712" width="7.7109375" customWidth="1"/>
    <col min="8952" max="8952" width="4.28515625" customWidth="1"/>
    <col min="8953" max="8953" width="7.140625" customWidth="1"/>
    <col min="8954" max="8954" width="0" hidden="1" customWidth="1"/>
    <col min="8955" max="8955" width="43.28515625" customWidth="1"/>
    <col min="8956" max="8956" width="10.7109375" customWidth="1"/>
    <col min="8957" max="8957" width="11" customWidth="1"/>
    <col min="8958" max="8958" width="8.42578125" customWidth="1"/>
    <col min="8959" max="8959" width="0.140625" customWidth="1"/>
    <col min="8960" max="8962" width="0" hidden="1" customWidth="1"/>
    <col min="8963" max="8963" width="11.5703125" customWidth="1"/>
    <col min="8964" max="8964" width="11" customWidth="1"/>
    <col min="8965" max="8965" width="8.140625" customWidth="1"/>
    <col min="8966" max="8966" width="10.85546875" customWidth="1"/>
    <col min="8967" max="8967" width="11.140625" customWidth="1"/>
    <col min="8968" max="8968" width="7.7109375" customWidth="1"/>
    <col min="9208" max="9208" width="4.28515625" customWidth="1"/>
    <col min="9209" max="9209" width="7.140625" customWidth="1"/>
    <col min="9210" max="9210" width="0" hidden="1" customWidth="1"/>
    <col min="9211" max="9211" width="43.28515625" customWidth="1"/>
    <col min="9212" max="9212" width="10.7109375" customWidth="1"/>
    <col min="9213" max="9213" width="11" customWidth="1"/>
    <col min="9214" max="9214" width="8.42578125" customWidth="1"/>
    <col min="9215" max="9215" width="0.140625" customWidth="1"/>
    <col min="9216" max="9218" width="0" hidden="1" customWidth="1"/>
    <col min="9219" max="9219" width="11.5703125" customWidth="1"/>
    <col min="9220" max="9220" width="11" customWidth="1"/>
    <col min="9221" max="9221" width="8.140625" customWidth="1"/>
    <col min="9222" max="9222" width="10.85546875" customWidth="1"/>
    <col min="9223" max="9223" width="11.140625" customWidth="1"/>
    <col min="9224" max="9224" width="7.7109375" customWidth="1"/>
    <col min="9464" max="9464" width="4.28515625" customWidth="1"/>
    <col min="9465" max="9465" width="7.140625" customWidth="1"/>
    <col min="9466" max="9466" width="0" hidden="1" customWidth="1"/>
    <col min="9467" max="9467" width="43.28515625" customWidth="1"/>
    <col min="9468" max="9468" width="10.7109375" customWidth="1"/>
    <col min="9469" max="9469" width="11" customWidth="1"/>
    <col min="9470" max="9470" width="8.42578125" customWidth="1"/>
    <col min="9471" max="9471" width="0.140625" customWidth="1"/>
    <col min="9472" max="9474" width="0" hidden="1" customWidth="1"/>
    <col min="9475" max="9475" width="11.5703125" customWidth="1"/>
    <col min="9476" max="9476" width="11" customWidth="1"/>
    <col min="9477" max="9477" width="8.140625" customWidth="1"/>
    <col min="9478" max="9478" width="10.85546875" customWidth="1"/>
    <col min="9479" max="9479" width="11.140625" customWidth="1"/>
    <col min="9480" max="9480" width="7.7109375" customWidth="1"/>
    <col min="9720" max="9720" width="4.28515625" customWidth="1"/>
    <col min="9721" max="9721" width="7.140625" customWidth="1"/>
    <col min="9722" max="9722" width="0" hidden="1" customWidth="1"/>
    <col min="9723" max="9723" width="43.28515625" customWidth="1"/>
    <col min="9724" max="9724" width="10.7109375" customWidth="1"/>
    <col min="9725" max="9725" width="11" customWidth="1"/>
    <col min="9726" max="9726" width="8.42578125" customWidth="1"/>
    <col min="9727" max="9727" width="0.140625" customWidth="1"/>
    <col min="9728" max="9730" width="0" hidden="1" customWidth="1"/>
    <col min="9731" max="9731" width="11.5703125" customWidth="1"/>
    <col min="9732" max="9732" width="11" customWidth="1"/>
    <col min="9733" max="9733" width="8.140625" customWidth="1"/>
    <col min="9734" max="9734" width="10.85546875" customWidth="1"/>
    <col min="9735" max="9735" width="11.140625" customWidth="1"/>
    <col min="9736" max="9736" width="7.7109375" customWidth="1"/>
    <col min="9976" max="9976" width="4.28515625" customWidth="1"/>
    <col min="9977" max="9977" width="7.140625" customWidth="1"/>
    <col min="9978" max="9978" width="0" hidden="1" customWidth="1"/>
    <col min="9979" max="9979" width="43.28515625" customWidth="1"/>
    <col min="9980" max="9980" width="10.7109375" customWidth="1"/>
    <col min="9981" max="9981" width="11" customWidth="1"/>
    <col min="9982" max="9982" width="8.42578125" customWidth="1"/>
    <col min="9983" max="9983" width="0.140625" customWidth="1"/>
    <col min="9984" max="9986" width="0" hidden="1" customWidth="1"/>
    <col min="9987" max="9987" width="11.5703125" customWidth="1"/>
    <col min="9988" max="9988" width="11" customWidth="1"/>
    <col min="9989" max="9989" width="8.140625" customWidth="1"/>
    <col min="9990" max="9990" width="10.85546875" customWidth="1"/>
    <col min="9991" max="9991" width="11.140625" customWidth="1"/>
    <col min="9992" max="9992" width="7.7109375" customWidth="1"/>
    <col min="10232" max="10232" width="4.28515625" customWidth="1"/>
    <col min="10233" max="10233" width="7.140625" customWidth="1"/>
    <col min="10234" max="10234" width="0" hidden="1" customWidth="1"/>
    <col min="10235" max="10235" width="43.28515625" customWidth="1"/>
    <col min="10236" max="10236" width="10.7109375" customWidth="1"/>
    <col min="10237" max="10237" width="11" customWidth="1"/>
    <col min="10238" max="10238" width="8.42578125" customWidth="1"/>
    <col min="10239" max="10239" width="0.140625" customWidth="1"/>
    <col min="10240" max="10242" width="0" hidden="1" customWidth="1"/>
    <col min="10243" max="10243" width="11.5703125" customWidth="1"/>
    <col min="10244" max="10244" width="11" customWidth="1"/>
    <col min="10245" max="10245" width="8.140625" customWidth="1"/>
    <col min="10246" max="10246" width="10.85546875" customWidth="1"/>
    <col min="10247" max="10247" width="11.140625" customWidth="1"/>
    <col min="10248" max="10248" width="7.7109375" customWidth="1"/>
    <col min="10488" max="10488" width="4.28515625" customWidth="1"/>
    <col min="10489" max="10489" width="7.140625" customWidth="1"/>
    <col min="10490" max="10490" width="0" hidden="1" customWidth="1"/>
    <col min="10491" max="10491" width="43.28515625" customWidth="1"/>
    <col min="10492" max="10492" width="10.7109375" customWidth="1"/>
    <col min="10493" max="10493" width="11" customWidth="1"/>
    <col min="10494" max="10494" width="8.42578125" customWidth="1"/>
    <col min="10495" max="10495" width="0.140625" customWidth="1"/>
    <col min="10496" max="10498" width="0" hidden="1" customWidth="1"/>
    <col min="10499" max="10499" width="11.5703125" customWidth="1"/>
    <col min="10500" max="10500" width="11" customWidth="1"/>
    <col min="10501" max="10501" width="8.140625" customWidth="1"/>
    <col min="10502" max="10502" width="10.85546875" customWidth="1"/>
    <col min="10503" max="10503" width="11.140625" customWidth="1"/>
    <col min="10504" max="10504" width="7.7109375" customWidth="1"/>
    <col min="10744" max="10744" width="4.28515625" customWidth="1"/>
    <col min="10745" max="10745" width="7.140625" customWidth="1"/>
    <col min="10746" max="10746" width="0" hidden="1" customWidth="1"/>
    <col min="10747" max="10747" width="43.28515625" customWidth="1"/>
    <col min="10748" max="10748" width="10.7109375" customWidth="1"/>
    <col min="10749" max="10749" width="11" customWidth="1"/>
    <col min="10750" max="10750" width="8.42578125" customWidth="1"/>
    <col min="10751" max="10751" width="0.140625" customWidth="1"/>
    <col min="10752" max="10754" width="0" hidden="1" customWidth="1"/>
    <col min="10755" max="10755" width="11.5703125" customWidth="1"/>
    <col min="10756" max="10756" width="11" customWidth="1"/>
    <col min="10757" max="10757" width="8.140625" customWidth="1"/>
    <col min="10758" max="10758" width="10.85546875" customWidth="1"/>
    <col min="10759" max="10759" width="11.140625" customWidth="1"/>
    <col min="10760" max="10760" width="7.7109375" customWidth="1"/>
    <col min="11000" max="11000" width="4.28515625" customWidth="1"/>
    <col min="11001" max="11001" width="7.140625" customWidth="1"/>
    <col min="11002" max="11002" width="0" hidden="1" customWidth="1"/>
    <col min="11003" max="11003" width="43.28515625" customWidth="1"/>
    <col min="11004" max="11004" width="10.7109375" customWidth="1"/>
    <col min="11005" max="11005" width="11" customWidth="1"/>
    <col min="11006" max="11006" width="8.42578125" customWidth="1"/>
    <col min="11007" max="11007" width="0.140625" customWidth="1"/>
    <col min="11008" max="11010" width="0" hidden="1" customWidth="1"/>
    <col min="11011" max="11011" width="11.5703125" customWidth="1"/>
    <col min="11012" max="11012" width="11" customWidth="1"/>
    <col min="11013" max="11013" width="8.140625" customWidth="1"/>
    <col min="11014" max="11014" width="10.85546875" customWidth="1"/>
    <col min="11015" max="11015" width="11.140625" customWidth="1"/>
    <col min="11016" max="11016" width="7.7109375" customWidth="1"/>
    <col min="11256" max="11256" width="4.28515625" customWidth="1"/>
    <col min="11257" max="11257" width="7.140625" customWidth="1"/>
    <col min="11258" max="11258" width="0" hidden="1" customWidth="1"/>
    <col min="11259" max="11259" width="43.28515625" customWidth="1"/>
    <col min="11260" max="11260" width="10.7109375" customWidth="1"/>
    <col min="11261" max="11261" width="11" customWidth="1"/>
    <col min="11262" max="11262" width="8.42578125" customWidth="1"/>
    <col min="11263" max="11263" width="0.140625" customWidth="1"/>
    <col min="11264" max="11266" width="0" hidden="1" customWidth="1"/>
    <col min="11267" max="11267" width="11.5703125" customWidth="1"/>
    <col min="11268" max="11268" width="11" customWidth="1"/>
    <col min="11269" max="11269" width="8.140625" customWidth="1"/>
    <col min="11270" max="11270" width="10.85546875" customWidth="1"/>
    <col min="11271" max="11271" width="11.140625" customWidth="1"/>
    <col min="11272" max="11272" width="7.7109375" customWidth="1"/>
    <col min="11512" max="11512" width="4.28515625" customWidth="1"/>
    <col min="11513" max="11513" width="7.140625" customWidth="1"/>
    <col min="11514" max="11514" width="0" hidden="1" customWidth="1"/>
    <col min="11515" max="11515" width="43.28515625" customWidth="1"/>
    <col min="11516" max="11516" width="10.7109375" customWidth="1"/>
    <col min="11517" max="11517" width="11" customWidth="1"/>
    <col min="11518" max="11518" width="8.42578125" customWidth="1"/>
    <col min="11519" max="11519" width="0.140625" customWidth="1"/>
    <col min="11520" max="11522" width="0" hidden="1" customWidth="1"/>
    <col min="11523" max="11523" width="11.5703125" customWidth="1"/>
    <col min="11524" max="11524" width="11" customWidth="1"/>
    <col min="11525" max="11525" width="8.140625" customWidth="1"/>
    <col min="11526" max="11526" width="10.85546875" customWidth="1"/>
    <col min="11527" max="11527" width="11.140625" customWidth="1"/>
    <col min="11528" max="11528" width="7.7109375" customWidth="1"/>
    <col min="11768" max="11768" width="4.28515625" customWidth="1"/>
    <col min="11769" max="11769" width="7.140625" customWidth="1"/>
    <col min="11770" max="11770" width="0" hidden="1" customWidth="1"/>
    <col min="11771" max="11771" width="43.28515625" customWidth="1"/>
    <col min="11772" max="11772" width="10.7109375" customWidth="1"/>
    <col min="11773" max="11773" width="11" customWidth="1"/>
    <col min="11774" max="11774" width="8.42578125" customWidth="1"/>
    <col min="11775" max="11775" width="0.140625" customWidth="1"/>
    <col min="11776" max="11778" width="0" hidden="1" customWidth="1"/>
    <col min="11779" max="11779" width="11.5703125" customWidth="1"/>
    <col min="11780" max="11780" width="11" customWidth="1"/>
    <col min="11781" max="11781" width="8.140625" customWidth="1"/>
    <col min="11782" max="11782" width="10.85546875" customWidth="1"/>
    <col min="11783" max="11783" width="11.140625" customWidth="1"/>
    <col min="11784" max="11784" width="7.7109375" customWidth="1"/>
    <col min="12024" max="12024" width="4.28515625" customWidth="1"/>
    <col min="12025" max="12025" width="7.140625" customWidth="1"/>
    <col min="12026" max="12026" width="0" hidden="1" customWidth="1"/>
    <col min="12027" max="12027" width="43.28515625" customWidth="1"/>
    <col min="12028" max="12028" width="10.7109375" customWidth="1"/>
    <col min="12029" max="12029" width="11" customWidth="1"/>
    <col min="12030" max="12030" width="8.42578125" customWidth="1"/>
    <col min="12031" max="12031" width="0.140625" customWidth="1"/>
    <col min="12032" max="12034" width="0" hidden="1" customWidth="1"/>
    <col min="12035" max="12035" width="11.5703125" customWidth="1"/>
    <col min="12036" max="12036" width="11" customWidth="1"/>
    <col min="12037" max="12037" width="8.140625" customWidth="1"/>
    <col min="12038" max="12038" width="10.85546875" customWidth="1"/>
    <col min="12039" max="12039" width="11.140625" customWidth="1"/>
    <col min="12040" max="12040" width="7.7109375" customWidth="1"/>
    <col min="12280" max="12280" width="4.28515625" customWidth="1"/>
    <col min="12281" max="12281" width="7.140625" customWidth="1"/>
    <col min="12282" max="12282" width="0" hidden="1" customWidth="1"/>
    <col min="12283" max="12283" width="43.28515625" customWidth="1"/>
    <col min="12284" max="12284" width="10.7109375" customWidth="1"/>
    <col min="12285" max="12285" width="11" customWidth="1"/>
    <col min="12286" max="12286" width="8.42578125" customWidth="1"/>
    <col min="12287" max="12287" width="0.140625" customWidth="1"/>
    <col min="12288" max="12290" width="0" hidden="1" customWidth="1"/>
    <col min="12291" max="12291" width="11.5703125" customWidth="1"/>
    <col min="12292" max="12292" width="11" customWidth="1"/>
    <col min="12293" max="12293" width="8.140625" customWidth="1"/>
    <col min="12294" max="12294" width="10.85546875" customWidth="1"/>
    <col min="12295" max="12295" width="11.140625" customWidth="1"/>
    <col min="12296" max="12296" width="7.7109375" customWidth="1"/>
    <col min="12536" max="12536" width="4.28515625" customWidth="1"/>
    <col min="12537" max="12537" width="7.140625" customWidth="1"/>
    <col min="12538" max="12538" width="0" hidden="1" customWidth="1"/>
    <col min="12539" max="12539" width="43.28515625" customWidth="1"/>
    <col min="12540" max="12540" width="10.7109375" customWidth="1"/>
    <col min="12541" max="12541" width="11" customWidth="1"/>
    <col min="12542" max="12542" width="8.42578125" customWidth="1"/>
    <col min="12543" max="12543" width="0.140625" customWidth="1"/>
    <col min="12544" max="12546" width="0" hidden="1" customWidth="1"/>
    <col min="12547" max="12547" width="11.5703125" customWidth="1"/>
    <col min="12548" max="12548" width="11" customWidth="1"/>
    <col min="12549" max="12549" width="8.140625" customWidth="1"/>
    <col min="12550" max="12550" width="10.85546875" customWidth="1"/>
    <col min="12551" max="12551" width="11.140625" customWidth="1"/>
    <col min="12552" max="12552" width="7.7109375" customWidth="1"/>
    <col min="12792" max="12792" width="4.28515625" customWidth="1"/>
    <col min="12793" max="12793" width="7.140625" customWidth="1"/>
    <col min="12794" max="12794" width="0" hidden="1" customWidth="1"/>
    <col min="12795" max="12795" width="43.28515625" customWidth="1"/>
    <col min="12796" max="12796" width="10.7109375" customWidth="1"/>
    <col min="12797" max="12797" width="11" customWidth="1"/>
    <col min="12798" max="12798" width="8.42578125" customWidth="1"/>
    <col min="12799" max="12799" width="0.140625" customWidth="1"/>
    <col min="12800" max="12802" width="0" hidden="1" customWidth="1"/>
    <col min="12803" max="12803" width="11.5703125" customWidth="1"/>
    <col min="12804" max="12804" width="11" customWidth="1"/>
    <col min="12805" max="12805" width="8.140625" customWidth="1"/>
    <col min="12806" max="12806" width="10.85546875" customWidth="1"/>
    <col min="12807" max="12807" width="11.140625" customWidth="1"/>
    <col min="12808" max="12808" width="7.7109375" customWidth="1"/>
    <col min="13048" max="13048" width="4.28515625" customWidth="1"/>
    <col min="13049" max="13049" width="7.140625" customWidth="1"/>
    <col min="13050" max="13050" width="0" hidden="1" customWidth="1"/>
    <col min="13051" max="13051" width="43.28515625" customWidth="1"/>
    <col min="13052" max="13052" width="10.7109375" customWidth="1"/>
    <col min="13053" max="13053" width="11" customWidth="1"/>
    <col min="13054" max="13054" width="8.42578125" customWidth="1"/>
    <col min="13055" max="13055" width="0.140625" customWidth="1"/>
    <col min="13056" max="13058" width="0" hidden="1" customWidth="1"/>
    <col min="13059" max="13059" width="11.5703125" customWidth="1"/>
    <col min="13060" max="13060" width="11" customWidth="1"/>
    <col min="13061" max="13061" width="8.140625" customWidth="1"/>
    <col min="13062" max="13062" width="10.85546875" customWidth="1"/>
    <col min="13063" max="13063" width="11.140625" customWidth="1"/>
    <col min="13064" max="13064" width="7.7109375" customWidth="1"/>
    <col min="13304" max="13304" width="4.28515625" customWidth="1"/>
    <col min="13305" max="13305" width="7.140625" customWidth="1"/>
    <col min="13306" max="13306" width="0" hidden="1" customWidth="1"/>
    <col min="13307" max="13307" width="43.28515625" customWidth="1"/>
    <col min="13308" max="13308" width="10.7109375" customWidth="1"/>
    <col min="13309" max="13309" width="11" customWidth="1"/>
    <col min="13310" max="13310" width="8.42578125" customWidth="1"/>
    <col min="13311" max="13311" width="0.140625" customWidth="1"/>
    <col min="13312" max="13314" width="0" hidden="1" customWidth="1"/>
    <col min="13315" max="13315" width="11.5703125" customWidth="1"/>
    <col min="13316" max="13316" width="11" customWidth="1"/>
    <col min="13317" max="13317" width="8.140625" customWidth="1"/>
    <col min="13318" max="13318" width="10.85546875" customWidth="1"/>
    <col min="13319" max="13319" width="11.140625" customWidth="1"/>
    <col min="13320" max="13320" width="7.7109375" customWidth="1"/>
    <col min="13560" max="13560" width="4.28515625" customWidth="1"/>
    <col min="13561" max="13561" width="7.140625" customWidth="1"/>
    <col min="13562" max="13562" width="0" hidden="1" customWidth="1"/>
    <col min="13563" max="13563" width="43.28515625" customWidth="1"/>
    <col min="13564" max="13564" width="10.7109375" customWidth="1"/>
    <col min="13565" max="13565" width="11" customWidth="1"/>
    <col min="13566" max="13566" width="8.42578125" customWidth="1"/>
    <col min="13567" max="13567" width="0.140625" customWidth="1"/>
    <col min="13568" max="13570" width="0" hidden="1" customWidth="1"/>
    <col min="13571" max="13571" width="11.5703125" customWidth="1"/>
    <col min="13572" max="13572" width="11" customWidth="1"/>
    <col min="13573" max="13573" width="8.140625" customWidth="1"/>
    <col min="13574" max="13574" width="10.85546875" customWidth="1"/>
    <col min="13575" max="13575" width="11.140625" customWidth="1"/>
    <col min="13576" max="13576" width="7.7109375" customWidth="1"/>
    <col min="13816" max="13816" width="4.28515625" customWidth="1"/>
    <col min="13817" max="13817" width="7.140625" customWidth="1"/>
    <col min="13818" max="13818" width="0" hidden="1" customWidth="1"/>
    <col min="13819" max="13819" width="43.28515625" customWidth="1"/>
    <col min="13820" max="13820" width="10.7109375" customWidth="1"/>
    <col min="13821" max="13821" width="11" customWidth="1"/>
    <col min="13822" max="13822" width="8.42578125" customWidth="1"/>
    <col min="13823" max="13823" width="0.140625" customWidth="1"/>
    <col min="13824" max="13826" width="0" hidden="1" customWidth="1"/>
    <col min="13827" max="13827" width="11.5703125" customWidth="1"/>
    <col min="13828" max="13828" width="11" customWidth="1"/>
    <col min="13829" max="13829" width="8.140625" customWidth="1"/>
    <col min="13830" max="13830" width="10.85546875" customWidth="1"/>
    <col min="13831" max="13831" width="11.140625" customWidth="1"/>
    <col min="13832" max="13832" width="7.7109375" customWidth="1"/>
    <col min="14072" max="14072" width="4.28515625" customWidth="1"/>
    <col min="14073" max="14073" width="7.140625" customWidth="1"/>
    <col min="14074" max="14074" width="0" hidden="1" customWidth="1"/>
    <col min="14075" max="14075" width="43.28515625" customWidth="1"/>
    <col min="14076" max="14076" width="10.7109375" customWidth="1"/>
    <col min="14077" max="14077" width="11" customWidth="1"/>
    <col min="14078" max="14078" width="8.42578125" customWidth="1"/>
    <col min="14079" max="14079" width="0.140625" customWidth="1"/>
    <col min="14080" max="14082" width="0" hidden="1" customWidth="1"/>
    <col min="14083" max="14083" width="11.5703125" customWidth="1"/>
    <col min="14084" max="14084" width="11" customWidth="1"/>
    <col min="14085" max="14085" width="8.140625" customWidth="1"/>
    <col min="14086" max="14086" width="10.85546875" customWidth="1"/>
    <col min="14087" max="14087" width="11.140625" customWidth="1"/>
    <col min="14088" max="14088" width="7.7109375" customWidth="1"/>
    <col min="14328" max="14328" width="4.28515625" customWidth="1"/>
    <col min="14329" max="14329" width="7.140625" customWidth="1"/>
    <col min="14330" max="14330" width="0" hidden="1" customWidth="1"/>
    <col min="14331" max="14331" width="43.28515625" customWidth="1"/>
    <col min="14332" max="14332" width="10.7109375" customWidth="1"/>
    <col min="14333" max="14333" width="11" customWidth="1"/>
    <col min="14334" max="14334" width="8.42578125" customWidth="1"/>
    <col min="14335" max="14335" width="0.140625" customWidth="1"/>
    <col min="14336" max="14338" width="0" hidden="1" customWidth="1"/>
    <col min="14339" max="14339" width="11.5703125" customWidth="1"/>
    <col min="14340" max="14340" width="11" customWidth="1"/>
    <col min="14341" max="14341" width="8.140625" customWidth="1"/>
    <col min="14342" max="14342" width="10.85546875" customWidth="1"/>
    <col min="14343" max="14343" width="11.140625" customWidth="1"/>
    <col min="14344" max="14344" width="7.7109375" customWidth="1"/>
    <col min="14584" max="14584" width="4.28515625" customWidth="1"/>
    <col min="14585" max="14585" width="7.140625" customWidth="1"/>
    <col min="14586" max="14586" width="0" hidden="1" customWidth="1"/>
    <col min="14587" max="14587" width="43.28515625" customWidth="1"/>
    <col min="14588" max="14588" width="10.7109375" customWidth="1"/>
    <col min="14589" max="14589" width="11" customWidth="1"/>
    <col min="14590" max="14590" width="8.42578125" customWidth="1"/>
    <col min="14591" max="14591" width="0.140625" customWidth="1"/>
    <col min="14592" max="14594" width="0" hidden="1" customWidth="1"/>
    <col min="14595" max="14595" width="11.5703125" customWidth="1"/>
    <col min="14596" max="14596" width="11" customWidth="1"/>
    <col min="14597" max="14597" width="8.140625" customWidth="1"/>
    <col min="14598" max="14598" width="10.85546875" customWidth="1"/>
    <col min="14599" max="14599" width="11.140625" customWidth="1"/>
    <col min="14600" max="14600" width="7.7109375" customWidth="1"/>
    <col min="14840" max="14840" width="4.28515625" customWidth="1"/>
    <col min="14841" max="14841" width="7.140625" customWidth="1"/>
    <col min="14842" max="14842" width="0" hidden="1" customWidth="1"/>
    <col min="14843" max="14843" width="43.28515625" customWidth="1"/>
    <col min="14844" max="14844" width="10.7109375" customWidth="1"/>
    <col min="14845" max="14845" width="11" customWidth="1"/>
    <col min="14846" max="14846" width="8.42578125" customWidth="1"/>
    <col min="14847" max="14847" width="0.140625" customWidth="1"/>
    <col min="14848" max="14850" width="0" hidden="1" customWidth="1"/>
    <col min="14851" max="14851" width="11.5703125" customWidth="1"/>
    <col min="14852" max="14852" width="11" customWidth="1"/>
    <col min="14853" max="14853" width="8.140625" customWidth="1"/>
    <col min="14854" max="14854" width="10.85546875" customWidth="1"/>
    <col min="14855" max="14855" width="11.140625" customWidth="1"/>
    <col min="14856" max="14856" width="7.7109375" customWidth="1"/>
    <col min="15096" max="15096" width="4.28515625" customWidth="1"/>
    <col min="15097" max="15097" width="7.140625" customWidth="1"/>
    <col min="15098" max="15098" width="0" hidden="1" customWidth="1"/>
    <col min="15099" max="15099" width="43.28515625" customWidth="1"/>
    <col min="15100" max="15100" width="10.7109375" customWidth="1"/>
    <col min="15101" max="15101" width="11" customWidth="1"/>
    <col min="15102" max="15102" width="8.42578125" customWidth="1"/>
    <col min="15103" max="15103" width="0.140625" customWidth="1"/>
    <col min="15104" max="15106" width="0" hidden="1" customWidth="1"/>
    <col min="15107" max="15107" width="11.5703125" customWidth="1"/>
    <col min="15108" max="15108" width="11" customWidth="1"/>
    <col min="15109" max="15109" width="8.140625" customWidth="1"/>
    <col min="15110" max="15110" width="10.85546875" customWidth="1"/>
    <col min="15111" max="15111" width="11.140625" customWidth="1"/>
    <col min="15112" max="15112" width="7.7109375" customWidth="1"/>
    <col min="15352" max="15352" width="4.28515625" customWidth="1"/>
    <col min="15353" max="15353" width="7.140625" customWidth="1"/>
    <col min="15354" max="15354" width="0" hidden="1" customWidth="1"/>
    <col min="15355" max="15355" width="43.28515625" customWidth="1"/>
    <col min="15356" max="15356" width="10.7109375" customWidth="1"/>
    <col min="15357" max="15357" width="11" customWidth="1"/>
    <col min="15358" max="15358" width="8.42578125" customWidth="1"/>
    <col min="15359" max="15359" width="0.140625" customWidth="1"/>
    <col min="15360" max="15362" width="0" hidden="1" customWidth="1"/>
    <col min="15363" max="15363" width="11.5703125" customWidth="1"/>
    <col min="15364" max="15364" width="11" customWidth="1"/>
    <col min="15365" max="15365" width="8.140625" customWidth="1"/>
    <col min="15366" max="15366" width="10.85546875" customWidth="1"/>
    <col min="15367" max="15367" width="11.140625" customWidth="1"/>
    <col min="15368" max="15368" width="7.7109375" customWidth="1"/>
    <col min="15608" max="15608" width="4.28515625" customWidth="1"/>
    <col min="15609" max="15609" width="7.140625" customWidth="1"/>
    <col min="15610" max="15610" width="0" hidden="1" customWidth="1"/>
    <col min="15611" max="15611" width="43.28515625" customWidth="1"/>
    <col min="15612" max="15612" width="10.7109375" customWidth="1"/>
    <col min="15613" max="15613" width="11" customWidth="1"/>
    <col min="15614" max="15614" width="8.42578125" customWidth="1"/>
    <col min="15615" max="15615" width="0.140625" customWidth="1"/>
    <col min="15616" max="15618" width="0" hidden="1" customWidth="1"/>
    <col min="15619" max="15619" width="11.5703125" customWidth="1"/>
    <col min="15620" max="15620" width="11" customWidth="1"/>
    <col min="15621" max="15621" width="8.140625" customWidth="1"/>
    <col min="15622" max="15622" width="10.85546875" customWidth="1"/>
    <col min="15623" max="15623" width="11.140625" customWidth="1"/>
    <col min="15624" max="15624" width="7.7109375" customWidth="1"/>
    <col min="15864" max="15864" width="4.28515625" customWidth="1"/>
    <col min="15865" max="15865" width="7.140625" customWidth="1"/>
    <col min="15866" max="15866" width="0" hidden="1" customWidth="1"/>
    <col min="15867" max="15867" width="43.28515625" customWidth="1"/>
    <col min="15868" max="15868" width="10.7109375" customWidth="1"/>
    <col min="15869" max="15869" width="11" customWidth="1"/>
    <col min="15870" max="15870" width="8.42578125" customWidth="1"/>
    <col min="15871" max="15871" width="0.140625" customWidth="1"/>
    <col min="15872" max="15874" width="0" hidden="1" customWidth="1"/>
    <col min="15875" max="15875" width="11.5703125" customWidth="1"/>
    <col min="15876" max="15876" width="11" customWidth="1"/>
    <col min="15877" max="15877" width="8.140625" customWidth="1"/>
    <col min="15878" max="15878" width="10.85546875" customWidth="1"/>
    <col min="15879" max="15879" width="11.140625" customWidth="1"/>
    <col min="15880" max="15880" width="7.7109375" customWidth="1"/>
    <col min="16120" max="16120" width="4.28515625" customWidth="1"/>
    <col min="16121" max="16121" width="7.140625" customWidth="1"/>
    <col min="16122" max="16122" width="0" hidden="1" customWidth="1"/>
    <col min="16123" max="16123" width="43.28515625" customWidth="1"/>
    <col min="16124" max="16124" width="10.7109375" customWidth="1"/>
    <col min="16125" max="16125" width="11" customWidth="1"/>
    <col min="16126" max="16126" width="8.42578125" customWidth="1"/>
    <col min="16127" max="16127" width="0.140625" customWidth="1"/>
    <col min="16128" max="16130" width="0" hidden="1" customWidth="1"/>
    <col min="16131" max="16131" width="11.5703125" customWidth="1"/>
    <col min="16132" max="16132" width="11" customWidth="1"/>
    <col min="16133" max="16133" width="8.140625" customWidth="1"/>
    <col min="16134" max="16134" width="10.85546875" customWidth="1"/>
    <col min="16135" max="16135" width="11.140625" customWidth="1"/>
    <col min="16136" max="16136" width="7.7109375" customWidth="1"/>
  </cols>
  <sheetData>
    <row r="1" spans="1:12" x14ac:dyDescent="0.25">
      <c r="L1" s="24" t="s">
        <v>64</v>
      </c>
    </row>
    <row r="2" spans="1:12" s="27" customFormat="1" ht="12.75" x14ac:dyDescent="0.2">
      <c r="A2" s="475" t="s">
        <v>65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2" s="210" customFormat="1" ht="9.6" customHeight="1" x14ac:dyDescent="0.2">
      <c r="A3" s="203"/>
      <c r="B3" s="204"/>
      <c r="C3" s="205"/>
      <c r="D3" s="206"/>
      <c r="E3" s="207" t="s">
        <v>4</v>
      </c>
      <c r="F3" s="208"/>
      <c r="G3" s="476" t="s">
        <v>66</v>
      </c>
      <c r="H3" s="477"/>
      <c r="I3" s="478"/>
      <c r="J3" s="206"/>
      <c r="K3" s="209" t="s">
        <v>67</v>
      </c>
      <c r="L3" s="208"/>
    </row>
    <row r="4" spans="1:12" s="217" customFormat="1" ht="11.25" x14ac:dyDescent="0.2">
      <c r="A4" s="211" t="s">
        <v>2</v>
      </c>
      <c r="B4" s="212" t="s">
        <v>68</v>
      </c>
      <c r="C4" s="213" t="s">
        <v>182</v>
      </c>
      <c r="D4" s="214" t="s">
        <v>69</v>
      </c>
      <c r="E4" s="215" t="s">
        <v>6</v>
      </c>
      <c r="F4" s="216" t="s">
        <v>70</v>
      </c>
      <c r="G4" s="214" t="s">
        <v>69</v>
      </c>
      <c r="H4" s="215" t="s">
        <v>6</v>
      </c>
      <c r="I4" s="216" t="s">
        <v>70</v>
      </c>
      <c r="J4" s="214" t="s">
        <v>69</v>
      </c>
      <c r="K4" s="215" t="s">
        <v>6</v>
      </c>
      <c r="L4" s="216" t="s">
        <v>70</v>
      </c>
    </row>
    <row r="5" spans="1:12" s="28" customFormat="1" ht="12.75" customHeight="1" x14ac:dyDescent="0.2">
      <c r="A5" s="169"/>
      <c r="B5" s="169" t="s">
        <v>73</v>
      </c>
      <c r="C5" s="165" t="s">
        <v>74</v>
      </c>
      <c r="D5" s="171">
        <v>28970</v>
      </c>
      <c r="E5" s="171">
        <v>26732.51</v>
      </c>
      <c r="F5" s="171">
        <f t="shared" ref="F5:F27" si="0">E5/D5*100</f>
        <v>92.27652744218156</v>
      </c>
      <c r="G5" s="171">
        <v>28970</v>
      </c>
      <c r="H5" s="171">
        <f>E5-K5</f>
        <v>26732.51</v>
      </c>
      <c r="I5" s="171">
        <f>H5/G5*100</f>
        <v>92.27652744218156</v>
      </c>
      <c r="J5" s="171">
        <v>0</v>
      </c>
      <c r="K5" s="171">
        <v>0</v>
      </c>
      <c r="L5" s="171">
        <v>0</v>
      </c>
    </row>
    <row r="6" spans="1:12" s="28" customFormat="1" ht="12.75" customHeight="1" x14ac:dyDescent="0.2">
      <c r="A6" s="169"/>
      <c r="B6" s="169" t="s">
        <v>398</v>
      </c>
      <c r="C6" s="165" t="s">
        <v>399</v>
      </c>
      <c r="D6" s="171">
        <v>1916223</v>
      </c>
      <c r="E6" s="171">
        <v>108844.51</v>
      </c>
      <c r="F6" s="171">
        <f t="shared" si="0"/>
        <v>5.6801588332881927</v>
      </c>
      <c r="G6" s="171">
        <v>6296</v>
      </c>
      <c r="H6" s="171">
        <v>4934.0200000000004</v>
      </c>
      <c r="I6" s="171">
        <f>H6/G6*100</f>
        <v>78.367534942820853</v>
      </c>
      <c r="J6" s="171">
        <v>1909927</v>
      </c>
      <c r="K6" s="171">
        <v>103910.49</v>
      </c>
      <c r="L6" s="171">
        <f>K6/J6*100</f>
        <v>5.4405477277403804</v>
      </c>
    </row>
    <row r="7" spans="1:12" s="28" customFormat="1" ht="12.75" customHeight="1" x14ac:dyDescent="0.2">
      <c r="A7" s="169"/>
      <c r="B7" s="169" t="s">
        <v>78</v>
      </c>
      <c r="C7" s="165" t="s">
        <v>79</v>
      </c>
      <c r="D7" s="171">
        <v>2775403.95</v>
      </c>
      <c r="E7" s="171">
        <v>2464939.5299999998</v>
      </c>
      <c r="F7" s="171">
        <f t="shared" si="0"/>
        <v>88.813721332348734</v>
      </c>
      <c r="G7" s="171">
        <v>563312.94999999995</v>
      </c>
      <c r="H7" s="171">
        <v>562904.19999999995</v>
      </c>
      <c r="I7" s="171">
        <f>H7/G7*100</f>
        <v>99.927438202867506</v>
      </c>
      <c r="J7" s="171">
        <f>D7-G7</f>
        <v>2212091</v>
      </c>
      <c r="K7" s="171">
        <f>E7-H7</f>
        <v>1902035.3299999998</v>
      </c>
      <c r="L7" s="171">
        <f>K7/J7*100</f>
        <v>85.983593351268098</v>
      </c>
    </row>
    <row r="8" spans="1:12" s="218" customFormat="1" ht="11.25" x14ac:dyDescent="0.2">
      <c r="A8" s="219" t="s">
        <v>16</v>
      </c>
      <c r="B8" s="219"/>
      <c r="C8" s="221" t="s">
        <v>17</v>
      </c>
      <c r="D8" s="172">
        <f>SUM(D5:D7)</f>
        <v>4720596.95</v>
      </c>
      <c r="E8" s="172">
        <f>SUM(E5:E7)</f>
        <v>2600516.5499999998</v>
      </c>
      <c r="F8" s="172">
        <f t="shared" si="0"/>
        <v>55.088722412533009</v>
      </c>
      <c r="G8" s="172">
        <f t="shared" ref="G8:G40" si="1">D8-J8</f>
        <v>598578.95000000019</v>
      </c>
      <c r="H8" s="172">
        <f>E8-K8</f>
        <v>594570.73</v>
      </c>
      <c r="I8" s="172">
        <f>H8/G8*100</f>
        <v>99.330377387978615</v>
      </c>
      <c r="J8" s="172">
        <f>SUM(J5:J7)</f>
        <v>4122018</v>
      </c>
      <c r="K8" s="172">
        <f>SUM(K5:K7)</f>
        <v>2005945.8199999998</v>
      </c>
      <c r="L8" s="172">
        <f t="shared" ref="L8:L17" si="2">K8/J8*100</f>
        <v>48.664169346179463</v>
      </c>
    </row>
    <row r="9" spans="1:12" s="30" customFormat="1" ht="12.75" customHeight="1" x14ac:dyDescent="0.2">
      <c r="A9" s="169"/>
      <c r="B9" s="169" t="s">
        <v>80</v>
      </c>
      <c r="C9" s="258" t="s">
        <v>81</v>
      </c>
      <c r="D9" s="170">
        <v>2998</v>
      </c>
      <c r="E9" s="170">
        <v>2978.8</v>
      </c>
      <c r="F9" s="171">
        <f t="shared" si="0"/>
        <v>99.359573048699133</v>
      </c>
      <c r="G9" s="171">
        <f t="shared" si="1"/>
        <v>2998</v>
      </c>
      <c r="H9" s="171">
        <f>E9-K9</f>
        <v>2978.8</v>
      </c>
      <c r="I9" s="171">
        <f t="shared" ref="I9:I71" si="3">H9/G9*100</f>
        <v>99.359573048699133</v>
      </c>
      <c r="J9" s="170">
        <v>0</v>
      </c>
      <c r="K9" s="170">
        <v>0</v>
      </c>
      <c r="L9" s="171">
        <v>0</v>
      </c>
    </row>
    <row r="10" spans="1:12" s="30" customFormat="1" ht="12.75" customHeight="1" x14ac:dyDescent="0.2">
      <c r="A10" s="169"/>
      <c r="B10" s="169" t="s">
        <v>82</v>
      </c>
      <c r="C10" s="258" t="s">
        <v>83</v>
      </c>
      <c r="D10" s="170">
        <v>170260</v>
      </c>
      <c r="E10" s="170">
        <v>100257.53</v>
      </c>
      <c r="F10" s="171">
        <f t="shared" si="0"/>
        <v>58.884958299072011</v>
      </c>
      <c r="G10" s="171">
        <v>260</v>
      </c>
      <c r="H10" s="171">
        <v>257.52999999999997</v>
      </c>
      <c r="I10" s="171">
        <f t="shared" si="3"/>
        <v>99.05</v>
      </c>
      <c r="J10" s="170">
        <v>170000</v>
      </c>
      <c r="K10" s="170">
        <v>100000</v>
      </c>
      <c r="L10" s="171">
        <f>K10/J10*100</f>
        <v>58.82352941176471</v>
      </c>
    </row>
    <row r="11" spans="1:12" s="30" customFormat="1" ht="12.75" customHeight="1" x14ac:dyDescent="0.2">
      <c r="A11" s="169"/>
      <c r="B11" s="169" t="s">
        <v>333</v>
      </c>
      <c r="C11" s="258" t="s">
        <v>370</v>
      </c>
      <c r="D11" s="170">
        <v>612925.6</v>
      </c>
      <c r="E11" s="170">
        <v>601440.59</v>
      </c>
      <c r="F11" s="171">
        <f t="shared" si="0"/>
        <v>98.12619835099072</v>
      </c>
      <c r="G11" s="171">
        <v>60802.6</v>
      </c>
      <c r="H11" s="171">
        <v>60702.8</v>
      </c>
      <c r="I11" s="171">
        <f t="shared" si="3"/>
        <v>99.835862282205042</v>
      </c>
      <c r="J11" s="170">
        <f>D11-G11</f>
        <v>552123</v>
      </c>
      <c r="K11" s="170">
        <f>E11-H11</f>
        <v>540737.78999999992</v>
      </c>
      <c r="L11" s="171">
        <f t="shared" si="2"/>
        <v>97.937921441417927</v>
      </c>
    </row>
    <row r="12" spans="1:12" s="30" customFormat="1" ht="12.75" customHeight="1" x14ac:dyDescent="0.2">
      <c r="A12" s="169"/>
      <c r="B12" s="169" t="s">
        <v>84</v>
      </c>
      <c r="C12" s="165" t="s">
        <v>85</v>
      </c>
      <c r="D12" s="170">
        <v>789748</v>
      </c>
      <c r="E12" s="170">
        <v>610971.18999999994</v>
      </c>
      <c r="F12" s="171">
        <f t="shared" si="0"/>
        <v>77.362803071359465</v>
      </c>
      <c r="G12" s="171">
        <f>D12-J12</f>
        <v>720611</v>
      </c>
      <c r="H12" s="171">
        <f>E12-K12</f>
        <v>570834.18999999994</v>
      </c>
      <c r="I12" s="171">
        <f t="shared" si="3"/>
        <v>79.215303402251692</v>
      </c>
      <c r="J12" s="170">
        <v>69137</v>
      </c>
      <c r="K12" s="170">
        <v>40137</v>
      </c>
      <c r="L12" s="171">
        <f t="shared" si="2"/>
        <v>58.054297988052703</v>
      </c>
    </row>
    <row r="13" spans="1:12" s="30" customFormat="1" ht="12.75" customHeight="1" x14ac:dyDescent="0.2">
      <c r="A13" s="169"/>
      <c r="B13" s="169" t="s">
        <v>371</v>
      </c>
      <c r="C13" s="165" t="s">
        <v>79</v>
      </c>
      <c r="D13" s="170">
        <v>7500</v>
      </c>
      <c r="E13" s="170">
        <v>7500</v>
      </c>
      <c r="F13" s="171">
        <f t="shared" si="0"/>
        <v>100</v>
      </c>
      <c r="G13" s="171">
        <f t="shared" si="1"/>
        <v>7500</v>
      </c>
      <c r="H13" s="171">
        <v>7500</v>
      </c>
      <c r="I13" s="171">
        <f t="shared" si="3"/>
        <v>100</v>
      </c>
      <c r="J13" s="170">
        <v>0</v>
      </c>
      <c r="K13" s="170">
        <v>0</v>
      </c>
      <c r="L13" s="171">
        <v>0</v>
      </c>
    </row>
    <row r="14" spans="1:12" s="29" customFormat="1" ht="11.25" x14ac:dyDescent="0.2">
      <c r="A14" s="219" t="s">
        <v>19</v>
      </c>
      <c r="B14" s="219"/>
      <c r="C14" s="221" t="s">
        <v>20</v>
      </c>
      <c r="D14" s="220">
        <f>SUM(D9:D13)</f>
        <v>1583431.6</v>
      </c>
      <c r="E14" s="220">
        <f>SUM(E9:E13)</f>
        <v>1323148.1099999999</v>
      </c>
      <c r="F14" s="172">
        <f t="shared" si="0"/>
        <v>83.562062927126107</v>
      </c>
      <c r="G14" s="172">
        <f>D14-J14</f>
        <v>792171.60000000009</v>
      </c>
      <c r="H14" s="172">
        <f t="shared" ref="H14:H26" si="4">E14-K14</f>
        <v>642273.31999999995</v>
      </c>
      <c r="I14" s="172">
        <f t="shared" si="3"/>
        <v>81.077549359254974</v>
      </c>
      <c r="J14" s="220">
        <f>SUM(J9:J12)</f>
        <v>791260</v>
      </c>
      <c r="K14" s="220">
        <f>SUM(K9:K12)</f>
        <v>680874.78999999992</v>
      </c>
      <c r="L14" s="172">
        <f t="shared" si="2"/>
        <v>86.049438869650928</v>
      </c>
    </row>
    <row r="15" spans="1:12" s="30" customFormat="1" ht="12.75" customHeight="1" x14ac:dyDescent="0.2">
      <c r="A15" s="169"/>
      <c r="B15" s="169" t="s">
        <v>86</v>
      </c>
      <c r="C15" s="165" t="s">
        <v>87</v>
      </c>
      <c r="D15" s="170">
        <v>537564</v>
      </c>
      <c r="E15" s="170">
        <v>220865.32</v>
      </c>
      <c r="F15" s="171">
        <f t="shared" si="0"/>
        <v>41.086330185801131</v>
      </c>
      <c r="G15" s="171">
        <f>D15-J15</f>
        <v>376914</v>
      </c>
      <c r="H15" s="171">
        <f>E15-K15</f>
        <v>62340.41</v>
      </c>
      <c r="I15" s="171">
        <f t="shared" si="3"/>
        <v>16.539690751736472</v>
      </c>
      <c r="J15" s="170">
        <v>160650</v>
      </c>
      <c r="K15" s="170">
        <v>158524.91</v>
      </c>
      <c r="L15" s="171">
        <f t="shared" si="2"/>
        <v>98.677192654839715</v>
      </c>
    </row>
    <row r="16" spans="1:12" s="30" customFormat="1" ht="12.75" customHeight="1" x14ac:dyDescent="0.2">
      <c r="A16" s="169"/>
      <c r="B16" s="169" t="s">
        <v>400</v>
      </c>
      <c r="C16" s="40" t="s">
        <v>401</v>
      </c>
      <c r="D16" s="170">
        <v>156792</v>
      </c>
      <c r="E16" s="170">
        <v>85316.87</v>
      </c>
      <c r="F16" s="171">
        <f t="shared" si="0"/>
        <v>54.414045359457106</v>
      </c>
      <c r="G16" s="171">
        <v>156792</v>
      </c>
      <c r="H16" s="171">
        <v>85316.87</v>
      </c>
      <c r="I16" s="171">
        <f>H16/G16*100</f>
        <v>54.414045359457106</v>
      </c>
      <c r="J16" s="170">
        <v>0</v>
      </c>
      <c r="K16" s="170">
        <v>0</v>
      </c>
      <c r="L16" s="171">
        <v>0</v>
      </c>
    </row>
    <row r="17" spans="1:12" s="29" customFormat="1" ht="11.25" x14ac:dyDescent="0.2">
      <c r="A17" s="219" t="s">
        <v>22</v>
      </c>
      <c r="B17" s="219"/>
      <c r="C17" s="221" t="s">
        <v>23</v>
      </c>
      <c r="D17" s="220">
        <f>D15+D16</f>
        <v>694356</v>
      </c>
      <c r="E17" s="220">
        <f>E15+E16</f>
        <v>306182.19</v>
      </c>
      <c r="F17" s="172">
        <f t="shared" si="0"/>
        <v>44.09585140763528</v>
      </c>
      <c r="G17" s="172">
        <f t="shared" si="1"/>
        <v>533706</v>
      </c>
      <c r="H17" s="172">
        <f t="shared" si="4"/>
        <v>147657.28</v>
      </c>
      <c r="I17" s="172">
        <f t="shared" si="3"/>
        <v>27.666408097341982</v>
      </c>
      <c r="J17" s="220">
        <f>J15</f>
        <v>160650</v>
      </c>
      <c r="K17" s="220">
        <f>K15</f>
        <v>158524.91</v>
      </c>
      <c r="L17" s="172">
        <f t="shared" si="2"/>
        <v>98.677192654839715</v>
      </c>
    </row>
    <row r="18" spans="1:12" s="29" customFormat="1" ht="12.75" customHeight="1" x14ac:dyDescent="0.2">
      <c r="A18" s="219"/>
      <c r="B18" s="169" t="s">
        <v>88</v>
      </c>
      <c r="C18" s="165" t="s">
        <v>89</v>
      </c>
      <c r="D18" s="170">
        <v>255000</v>
      </c>
      <c r="E18" s="170">
        <v>91218.92</v>
      </c>
      <c r="F18" s="171">
        <f t="shared" si="0"/>
        <v>35.772125490196075</v>
      </c>
      <c r="G18" s="171">
        <f t="shared" si="1"/>
        <v>255000</v>
      </c>
      <c r="H18" s="171">
        <f t="shared" si="4"/>
        <v>91218.92</v>
      </c>
      <c r="I18" s="171">
        <f t="shared" si="3"/>
        <v>35.772125490196075</v>
      </c>
      <c r="J18" s="170">
        <v>0</v>
      </c>
      <c r="K18" s="170">
        <v>0</v>
      </c>
      <c r="L18" s="171">
        <v>0</v>
      </c>
    </row>
    <row r="19" spans="1:12" s="30" customFormat="1" ht="12.75" customHeight="1" x14ac:dyDescent="0.2">
      <c r="A19" s="169"/>
      <c r="B19" s="169" t="s">
        <v>90</v>
      </c>
      <c r="C19" s="165" t="s">
        <v>91</v>
      </c>
      <c r="D19" s="170">
        <v>20000</v>
      </c>
      <c r="E19" s="170">
        <v>19230</v>
      </c>
      <c r="F19" s="171">
        <f t="shared" si="0"/>
        <v>96.15</v>
      </c>
      <c r="G19" s="171">
        <f t="shared" si="1"/>
        <v>20000</v>
      </c>
      <c r="H19" s="171">
        <f t="shared" si="4"/>
        <v>19230</v>
      </c>
      <c r="I19" s="171">
        <f t="shared" si="3"/>
        <v>96.15</v>
      </c>
      <c r="J19" s="170">
        <v>0</v>
      </c>
      <c r="K19" s="170">
        <v>0</v>
      </c>
      <c r="L19" s="171">
        <v>0</v>
      </c>
    </row>
    <row r="20" spans="1:12" s="30" customFormat="1" ht="12.75" customHeight="1" x14ac:dyDescent="0.2">
      <c r="A20" s="169"/>
      <c r="B20" s="169" t="s">
        <v>319</v>
      </c>
      <c r="C20" s="165" t="s">
        <v>79</v>
      </c>
      <c r="D20" s="170">
        <v>95000</v>
      </c>
      <c r="E20" s="170">
        <v>0</v>
      </c>
      <c r="F20" s="171">
        <f t="shared" si="0"/>
        <v>0</v>
      </c>
      <c r="G20" s="171">
        <f t="shared" si="1"/>
        <v>95000</v>
      </c>
      <c r="H20" s="171">
        <f t="shared" si="4"/>
        <v>0</v>
      </c>
      <c r="I20" s="171">
        <f t="shared" si="3"/>
        <v>0</v>
      </c>
      <c r="J20" s="170">
        <v>0</v>
      </c>
      <c r="K20" s="170">
        <v>0</v>
      </c>
      <c r="L20" s="171">
        <v>0</v>
      </c>
    </row>
    <row r="21" spans="1:12" s="29" customFormat="1" ht="11.25" x14ac:dyDescent="0.2">
      <c r="A21" s="219" t="s">
        <v>92</v>
      </c>
      <c r="B21" s="219"/>
      <c r="C21" s="221" t="s">
        <v>93</v>
      </c>
      <c r="D21" s="220">
        <f>SUM(D18:D20)</f>
        <v>370000</v>
      </c>
      <c r="E21" s="220">
        <f>SUM(E18:E20)</f>
        <v>110448.92</v>
      </c>
      <c r="F21" s="172">
        <f t="shared" si="0"/>
        <v>29.85105945945946</v>
      </c>
      <c r="G21" s="172">
        <f t="shared" si="1"/>
        <v>370000</v>
      </c>
      <c r="H21" s="172">
        <f t="shared" si="4"/>
        <v>110448.92</v>
      </c>
      <c r="I21" s="172">
        <f t="shared" si="3"/>
        <v>29.85105945945946</v>
      </c>
      <c r="J21" s="220">
        <f>SUM(J19:J19)</f>
        <v>0</v>
      </c>
      <c r="K21" s="220">
        <f>SUM(K19:K19)</f>
        <v>0</v>
      </c>
      <c r="L21" s="172">
        <v>0</v>
      </c>
    </row>
    <row r="22" spans="1:12" s="30" customFormat="1" ht="11.25" x14ac:dyDescent="0.2">
      <c r="A22" s="169"/>
      <c r="B22" s="169" t="s">
        <v>402</v>
      </c>
      <c r="C22" s="165" t="s">
        <v>79</v>
      </c>
      <c r="D22" s="170">
        <v>240000</v>
      </c>
      <c r="E22" s="170">
        <v>240000</v>
      </c>
      <c r="F22" s="171">
        <f>E22/D22*100</f>
        <v>100</v>
      </c>
      <c r="G22" s="171">
        <v>140000</v>
      </c>
      <c r="H22" s="171">
        <v>140000</v>
      </c>
      <c r="I22" s="171">
        <f>H22/G22*100</f>
        <v>100</v>
      </c>
      <c r="J22" s="170">
        <v>100000</v>
      </c>
      <c r="K22" s="170">
        <v>100000</v>
      </c>
      <c r="L22" s="171">
        <v>100</v>
      </c>
    </row>
    <row r="23" spans="1:12" s="29" customFormat="1" ht="11.25" x14ac:dyDescent="0.2">
      <c r="A23" s="219" t="s">
        <v>387</v>
      </c>
      <c r="B23" s="219"/>
      <c r="C23" s="221" t="s">
        <v>403</v>
      </c>
      <c r="D23" s="220">
        <v>240000</v>
      </c>
      <c r="E23" s="220">
        <v>240000</v>
      </c>
      <c r="F23" s="172">
        <v>100</v>
      </c>
      <c r="G23" s="172">
        <v>140000</v>
      </c>
      <c r="H23" s="172">
        <v>140000</v>
      </c>
      <c r="I23" s="172">
        <v>100</v>
      </c>
      <c r="J23" s="220">
        <v>100000</v>
      </c>
      <c r="K23" s="220">
        <v>100000</v>
      </c>
      <c r="L23" s="172">
        <v>100</v>
      </c>
    </row>
    <row r="24" spans="1:12" s="30" customFormat="1" ht="13.5" customHeight="1" x14ac:dyDescent="0.2">
      <c r="A24" s="169"/>
      <c r="B24" s="169" t="s">
        <v>94</v>
      </c>
      <c r="C24" s="165" t="s">
        <v>95</v>
      </c>
      <c r="D24" s="170">
        <v>87809.33</v>
      </c>
      <c r="E24" s="170">
        <v>85726.2</v>
      </c>
      <c r="F24" s="171">
        <f t="shared" si="0"/>
        <v>97.627666672778389</v>
      </c>
      <c r="G24" s="171">
        <f t="shared" si="1"/>
        <v>87809.33</v>
      </c>
      <c r="H24" s="171">
        <f t="shared" si="4"/>
        <v>85726.2</v>
      </c>
      <c r="I24" s="171">
        <f t="shared" si="3"/>
        <v>97.627666672778389</v>
      </c>
      <c r="J24" s="170">
        <v>0</v>
      </c>
      <c r="K24" s="170">
        <v>0</v>
      </c>
      <c r="L24" s="171">
        <v>0</v>
      </c>
    </row>
    <row r="25" spans="1:12" s="30" customFormat="1" ht="13.5" customHeight="1" x14ac:dyDescent="0.2">
      <c r="A25" s="169"/>
      <c r="B25" s="169" t="s">
        <v>96</v>
      </c>
      <c r="C25" s="165" t="s">
        <v>320</v>
      </c>
      <c r="D25" s="170">
        <v>210071</v>
      </c>
      <c r="E25" s="170">
        <v>147182.85999999999</v>
      </c>
      <c r="F25" s="171">
        <f t="shared" si="0"/>
        <v>70.063388092597251</v>
      </c>
      <c r="G25" s="171">
        <f t="shared" si="1"/>
        <v>210071</v>
      </c>
      <c r="H25" s="171">
        <f t="shared" si="4"/>
        <v>147182.85999999999</v>
      </c>
      <c r="I25" s="171">
        <f t="shared" si="3"/>
        <v>70.063388092597251</v>
      </c>
      <c r="J25" s="170">
        <v>0</v>
      </c>
      <c r="K25" s="170">
        <v>0</v>
      </c>
      <c r="L25" s="171">
        <v>0</v>
      </c>
    </row>
    <row r="26" spans="1:12" s="30" customFormat="1" ht="13.5" customHeight="1" x14ac:dyDescent="0.2">
      <c r="A26" s="169"/>
      <c r="B26" s="169" t="s">
        <v>97</v>
      </c>
      <c r="C26" s="165" t="s">
        <v>98</v>
      </c>
      <c r="D26" s="170">
        <v>4334602</v>
      </c>
      <c r="E26" s="170">
        <v>3436587.42</v>
      </c>
      <c r="F26" s="171">
        <f t="shared" si="0"/>
        <v>79.28265201741705</v>
      </c>
      <c r="G26" s="171">
        <v>4278536</v>
      </c>
      <c r="H26" s="171">
        <f t="shared" si="4"/>
        <v>3436587.42</v>
      </c>
      <c r="I26" s="171">
        <f t="shared" si="3"/>
        <v>80.321573080137682</v>
      </c>
      <c r="J26" s="170">
        <v>0</v>
      </c>
      <c r="K26" s="170">
        <v>0</v>
      </c>
      <c r="L26" s="171">
        <v>0</v>
      </c>
    </row>
    <row r="27" spans="1:12" s="30" customFormat="1" ht="13.5" customHeight="1" x14ac:dyDescent="0.2">
      <c r="A27" s="169"/>
      <c r="B27" s="169" t="s">
        <v>99</v>
      </c>
      <c r="C27" s="40" t="s">
        <v>100</v>
      </c>
      <c r="D27" s="170">
        <v>79307</v>
      </c>
      <c r="E27" s="170">
        <v>55742.35</v>
      </c>
      <c r="F27" s="171">
        <f t="shared" si="0"/>
        <v>70.286796877955283</v>
      </c>
      <c r="G27" s="171">
        <f t="shared" si="1"/>
        <v>79307</v>
      </c>
      <c r="H27" s="171">
        <f t="shared" ref="H27:H40" si="5">E27-K27</f>
        <v>55742.35</v>
      </c>
      <c r="I27" s="171">
        <f t="shared" si="3"/>
        <v>70.286796877955283</v>
      </c>
      <c r="J27" s="170">
        <v>0</v>
      </c>
      <c r="K27" s="170">
        <v>0</v>
      </c>
      <c r="L27" s="171">
        <v>0</v>
      </c>
    </row>
    <row r="28" spans="1:12" s="30" customFormat="1" ht="13.5" customHeight="1" x14ac:dyDescent="0.2">
      <c r="A28" s="169"/>
      <c r="B28" s="169" t="s">
        <v>298</v>
      </c>
      <c r="C28" s="40" t="s">
        <v>299</v>
      </c>
      <c r="D28" s="170">
        <v>460050</v>
      </c>
      <c r="E28" s="170">
        <v>449262.41</v>
      </c>
      <c r="F28" s="171">
        <f t="shared" ref="F28:F68" si="6">E28/D28*100</f>
        <v>97.655126616672092</v>
      </c>
      <c r="G28" s="171">
        <f t="shared" si="1"/>
        <v>460050</v>
      </c>
      <c r="H28" s="171">
        <f t="shared" si="5"/>
        <v>449262.41</v>
      </c>
      <c r="I28" s="171">
        <f t="shared" si="3"/>
        <v>97.655126616672092</v>
      </c>
      <c r="J28" s="170">
        <v>0</v>
      </c>
      <c r="K28" s="170">
        <v>0</v>
      </c>
      <c r="L28" s="171">
        <v>0</v>
      </c>
    </row>
    <row r="29" spans="1:12" s="30" customFormat="1" ht="13.5" customHeight="1" x14ac:dyDescent="0.2">
      <c r="A29" s="169"/>
      <c r="B29" s="169" t="s">
        <v>101</v>
      </c>
      <c r="C29" s="165" t="s">
        <v>79</v>
      </c>
      <c r="D29" s="170">
        <v>469089</v>
      </c>
      <c r="E29" s="170">
        <v>440550.59</v>
      </c>
      <c r="F29" s="171">
        <f t="shared" si="6"/>
        <v>93.916205666728487</v>
      </c>
      <c r="G29" s="171">
        <f t="shared" si="1"/>
        <v>469089</v>
      </c>
      <c r="H29" s="171">
        <f t="shared" si="5"/>
        <v>440550.59</v>
      </c>
      <c r="I29" s="171">
        <f t="shared" si="3"/>
        <v>93.916205666728487</v>
      </c>
      <c r="J29" s="170">
        <v>0</v>
      </c>
      <c r="K29" s="170">
        <v>0</v>
      </c>
      <c r="L29" s="171">
        <v>0</v>
      </c>
    </row>
    <row r="30" spans="1:12" s="29" customFormat="1" ht="13.5" customHeight="1" x14ac:dyDescent="0.2">
      <c r="A30" s="219" t="s">
        <v>25</v>
      </c>
      <c r="B30" s="219"/>
      <c r="C30" s="221" t="s">
        <v>102</v>
      </c>
      <c r="D30" s="220">
        <f>SUM(D24:D29)</f>
        <v>5640928.3300000001</v>
      </c>
      <c r="E30" s="220">
        <f>SUM(E24:E29)</f>
        <v>4615051.83</v>
      </c>
      <c r="F30" s="172">
        <f t="shared" si="6"/>
        <v>81.813693775471179</v>
      </c>
      <c r="G30" s="172">
        <f t="shared" si="1"/>
        <v>5640928.3300000001</v>
      </c>
      <c r="H30" s="172">
        <f t="shared" si="5"/>
        <v>4615051.83</v>
      </c>
      <c r="I30" s="172">
        <f t="shared" si="3"/>
        <v>81.813693775471179</v>
      </c>
      <c r="J30" s="220">
        <f>SUM(J24:J29)</f>
        <v>0</v>
      </c>
      <c r="K30" s="220">
        <f>SUM(K24:K29)</f>
        <v>0</v>
      </c>
      <c r="L30" s="172">
        <v>0</v>
      </c>
    </row>
    <row r="31" spans="1:12" s="30" customFormat="1" ht="11.25" x14ac:dyDescent="0.2">
      <c r="A31" s="169"/>
      <c r="B31" s="169" t="s">
        <v>103</v>
      </c>
      <c r="C31" s="40" t="s">
        <v>104</v>
      </c>
      <c r="D31" s="170">
        <v>1346</v>
      </c>
      <c r="E31" s="170">
        <v>1346</v>
      </c>
      <c r="F31" s="171">
        <f t="shared" si="6"/>
        <v>100</v>
      </c>
      <c r="G31" s="171">
        <f t="shared" si="1"/>
        <v>1346</v>
      </c>
      <c r="H31" s="171">
        <f t="shared" si="5"/>
        <v>1346</v>
      </c>
      <c r="I31" s="171">
        <f t="shared" si="3"/>
        <v>100</v>
      </c>
      <c r="J31" s="170">
        <v>0</v>
      </c>
      <c r="K31" s="170">
        <v>0</v>
      </c>
      <c r="L31" s="171">
        <v>0</v>
      </c>
    </row>
    <row r="32" spans="1:12" s="29" customFormat="1" ht="42" customHeight="1" x14ac:dyDescent="0.2">
      <c r="A32" s="219" t="s">
        <v>26</v>
      </c>
      <c r="B32" s="219"/>
      <c r="C32" s="39" t="s">
        <v>27</v>
      </c>
      <c r="D32" s="220">
        <f>D31</f>
        <v>1346</v>
      </c>
      <c r="E32" s="220">
        <f>E31</f>
        <v>1346</v>
      </c>
      <c r="F32" s="172">
        <f t="shared" si="6"/>
        <v>100</v>
      </c>
      <c r="G32" s="172">
        <f t="shared" si="1"/>
        <v>1346</v>
      </c>
      <c r="H32" s="172">
        <f t="shared" si="5"/>
        <v>1346</v>
      </c>
      <c r="I32" s="172">
        <f t="shared" si="3"/>
        <v>100</v>
      </c>
      <c r="J32" s="220">
        <f>J31</f>
        <v>0</v>
      </c>
      <c r="K32" s="220">
        <f>K31</f>
        <v>0</v>
      </c>
      <c r="L32" s="172">
        <v>0</v>
      </c>
    </row>
    <row r="33" spans="1:12" s="30" customFormat="1" ht="50.25" customHeight="1" x14ac:dyDescent="0.2">
      <c r="A33" s="169"/>
      <c r="B33" s="169" t="s">
        <v>313</v>
      </c>
      <c r="C33" s="40" t="s">
        <v>372</v>
      </c>
      <c r="D33" s="170">
        <v>3000</v>
      </c>
      <c r="E33" s="170">
        <v>0</v>
      </c>
      <c r="F33" s="171">
        <f t="shared" si="6"/>
        <v>0</v>
      </c>
      <c r="G33" s="171">
        <f t="shared" si="1"/>
        <v>3000</v>
      </c>
      <c r="H33" s="171">
        <f t="shared" si="5"/>
        <v>0</v>
      </c>
      <c r="I33" s="171">
        <f t="shared" si="3"/>
        <v>0</v>
      </c>
      <c r="J33" s="170">
        <v>0</v>
      </c>
      <c r="K33" s="170">
        <v>0</v>
      </c>
      <c r="L33" s="171">
        <v>0</v>
      </c>
    </row>
    <row r="34" spans="1:12" s="29" customFormat="1" ht="12.75" customHeight="1" x14ac:dyDescent="0.2">
      <c r="A34" s="219" t="s">
        <v>105</v>
      </c>
      <c r="B34" s="219"/>
      <c r="C34" s="221" t="s">
        <v>106</v>
      </c>
      <c r="D34" s="220">
        <f>D33</f>
        <v>3000</v>
      </c>
      <c r="E34" s="220">
        <f>E33</f>
        <v>0</v>
      </c>
      <c r="F34" s="172">
        <f t="shared" si="6"/>
        <v>0</v>
      </c>
      <c r="G34" s="172">
        <f t="shared" si="1"/>
        <v>3000</v>
      </c>
      <c r="H34" s="172">
        <f t="shared" si="5"/>
        <v>0</v>
      </c>
      <c r="I34" s="172">
        <f t="shared" si="3"/>
        <v>0</v>
      </c>
      <c r="J34" s="220">
        <f>J33</f>
        <v>0</v>
      </c>
      <c r="K34" s="220">
        <v>0</v>
      </c>
      <c r="L34" s="172">
        <v>0</v>
      </c>
    </row>
    <row r="35" spans="1:12" s="30" customFormat="1" ht="12.75" customHeight="1" x14ac:dyDescent="0.2">
      <c r="A35" s="169"/>
      <c r="B35" s="169" t="s">
        <v>411</v>
      </c>
      <c r="C35" s="165" t="s">
        <v>412</v>
      </c>
      <c r="D35" s="170">
        <v>30000</v>
      </c>
      <c r="E35" s="170">
        <v>30000</v>
      </c>
      <c r="F35" s="171">
        <f>E35/D35*100</f>
        <v>100</v>
      </c>
      <c r="G35" s="171">
        <v>0</v>
      </c>
      <c r="H35" s="171">
        <v>0</v>
      </c>
      <c r="I35" s="171">
        <v>0</v>
      </c>
      <c r="J35" s="170">
        <v>30000</v>
      </c>
      <c r="K35" s="170">
        <v>30000</v>
      </c>
      <c r="L35" s="171">
        <f>K35/J35*100</f>
        <v>100</v>
      </c>
    </row>
    <row r="36" spans="1:12" s="30" customFormat="1" ht="12.75" customHeight="1" x14ac:dyDescent="0.2">
      <c r="A36" s="169"/>
      <c r="B36" s="169" t="s">
        <v>404</v>
      </c>
      <c r="C36" s="165" t="s">
        <v>413</v>
      </c>
      <c r="D36" s="170">
        <v>20000</v>
      </c>
      <c r="E36" s="170">
        <v>20000</v>
      </c>
      <c r="F36" s="171">
        <f>E36/D36*100</f>
        <v>100</v>
      </c>
      <c r="G36" s="171">
        <v>20000</v>
      </c>
      <c r="H36" s="171">
        <f>E36</f>
        <v>20000</v>
      </c>
      <c r="I36" s="171">
        <f>H36/G36*100</f>
        <v>100</v>
      </c>
      <c r="J36" s="170">
        <v>0</v>
      </c>
      <c r="K36" s="170">
        <v>0</v>
      </c>
      <c r="L36" s="171">
        <v>0</v>
      </c>
    </row>
    <row r="37" spans="1:12" s="30" customFormat="1" ht="11.25" x14ac:dyDescent="0.2">
      <c r="A37" s="169"/>
      <c r="B37" s="169" t="s">
        <v>107</v>
      </c>
      <c r="C37" s="165" t="s">
        <v>108</v>
      </c>
      <c r="D37" s="170">
        <v>703721</v>
      </c>
      <c r="E37" s="170">
        <v>612908.64</v>
      </c>
      <c r="F37" s="171">
        <f t="shared" si="6"/>
        <v>87.095402865624308</v>
      </c>
      <c r="G37" s="171">
        <f>D37-J37</f>
        <v>469700</v>
      </c>
      <c r="H37" s="171">
        <f>E37-K37</f>
        <v>378888.07</v>
      </c>
      <c r="I37" s="171">
        <f t="shared" si="3"/>
        <v>80.665971896955497</v>
      </c>
      <c r="J37" s="170">
        <v>234021</v>
      </c>
      <c r="K37" s="170">
        <v>234020.57</v>
      </c>
      <c r="L37" s="171">
        <f>K37/J37*100</f>
        <v>99.99981625580611</v>
      </c>
    </row>
    <row r="38" spans="1:12" s="30" customFormat="1" ht="11.25" x14ac:dyDescent="0.2">
      <c r="A38" s="169"/>
      <c r="B38" s="169" t="s">
        <v>109</v>
      </c>
      <c r="C38" s="165" t="s">
        <v>79</v>
      </c>
      <c r="D38" s="170">
        <v>2535960.5099999998</v>
      </c>
      <c r="E38" s="170">
        <v>2519630.04</v>
      </c>
      <c r="F38" s="171">
        <f t="shared" si="6"/>
        <v>99.356043994549438</v>
      </c>
      <c r="G38" s="171">
        <f t="shared" si="1"/>
        <v>2535960.5099999998</v>
      </c>
      <c r="H38" s="171">
        <f t="shared" si="5"/>
        <v>2519630.04</v>
      </c>
      <c r="I38" s="171">
        <f t="shared" si="3"/>
        <v>99.356043994549438</v>
      </c>
      <c r="J38" s="170">
        <v>0</v>
      </c>
      <c r="K38" s="170">
        <v>0</v>
      </c>
      <c r="L38" s="171">
        <v>0</v>
      </c>
    </row>
    <row r="39" spans="1:12" s="29" customFormat="1" ht="24" customHeight="1" x14ac:dyDescent="0.2">
      <c r="A39" s="219" t="s">
        <v>28</v>
      </c>
      <c r="B39" s="219"/>
      <c r="C39" s="39" t="s">
        <v>29</v>
      </c>
      <c r="D39" s="220">
        <f>SUM(D35:D38)</f>
        <v>3289681.51</v>
      </c>
      <c r="E39" s="220">
        <f>SUM(E35:E38)</f>
        <v>3182538.68</v>
      </c>
      <c r="F39" s="172">
        <f t="shared" si="6"/>
        <v>96.743063738106386</v>
      </c>
      <c r="G39" s="172">
        <f>D39-J39</f>
        <v>3025660.51</v>
      </c>
      <c r="H39" s="172">
        <f t="shared" si="5"/>
        <v>2918518.1100000003</v>
      </c>
      <c r="I39" s="172">
        <f t="shared" si="3"/>
        <v>96.458875685296249</v>
      </c>
      <c r="J39" s="220">
        <f>SUM(J35:J38)</f>
        <v>264021</v>
      </c>
      <c r="K39" s="220">
        <f>K35+K37</f>
        <v>264020.57</v>
      </c>
      <c r="L39" s="172">
        <f>K39/J39*100</f>
        <v>99.999837134167365</v>
      </c>
    </row>
    <row r="40" spans="1:12" s="29" customFormat="1" ht="49.5" customHeight="1" x14ac:dyDescent="0.2">
      <c r="A40" s="169"/>
      <c r="B40" s="169" t="s">
        <v>110</v>
      </c>
      <c r="C40" s="40" t="s">
        <v>373</v>
      </c>
      <c r="D40" s="170">
        <v>196154.11</v>
      </c>
      <c r="E40" s="170">
        <v>106592.04</v>
      </c>
      <c r="F40" s="171">
        <f t="shared" si="6"/>
        <v>54.340966906071962</v>
      </c>
      <c r="G40" s="171">
        <f t="shared" si="1"/>
        <v>196154.11</v>
      </c>
      <c r="H40" s="171">
        <f t="shared" si="5"/>
        <v>106592.04</v>
      </c>
      <c r="I40" s="171">
        <f t="shared" si="3"/>
        <v>54.340966906071962</v>
      </c>
      <c r="J40" s="170">
        <v>0</v>
      </c>
      <c r="K40" s="170">
        <v>0</v>
      </c>
      <c r="L40" s="171">
        <v>0</v>
      </c>
    </row>
    <row r="41" spans="1:12" s="29" customFormat="1" ht="16.5" customHeight="1" x14ac:dyDescent="0.2">
      <c r="A41" s="219" t="s">
        <v>112</v>
      </c>
      <c r="B41" s="219"/>
      <c r="C41" s="39" t="s">
        <v>113</v>
      </c>
      <c r="D41" s="220">
        <f>SUM(D40)</f>
        <v>196154.11</v>
      </c>
      <c r="E41" s="220">
        <f>SUM(E40)</f>
        <v>106592.04</v>
      </c>
      <c r="F41" s="172">
        <f t="shared" si="6"/>
        <v>54.340966906071962</v>
      </c>
      <c r="G41" s="220">
        <f>SUM(G40)</f>
        <v>196154.11</v>
      </c>
      <c r="H41" s="220">
        <f>SUM(H40)</f>
        <v>106592.04</v>
      </c>
      <c r="I41" s="172">
        <f t="shared" si="3"/>
        <v>54.340966906071962</v>
      </c>
      <c r="J41" s="220">
        <f>SUM(J40)</f>
        <v>0</v>
      </c>
      <c r="K41" s="220">
        <f>SUM(K40)</f>
        <v>0</v>
      </c>
      <c r="L41" s="172">
        <v>0</v>
      </c>
    </row>
    <row r="42" spans="1:12" s="30" customFormat="1" ht="12" customHeight="1" x14ac:dyDescent="0.2">
      <c r="A42" s="169"/>
      <c r="B42" s="169" t="s">
        <v>114</v>
      </c>
      <c r="C42" s="165" t="s">
        <v>115</v>
      </c>
      <c r="D42" s="170">
        <v>11000</v>
      </c>
      <c r="E42" s="170">
        <v>6920.1</v>
      </c>
      <c r="F42" s="171">
        <f t="shared" si="6"/>
        <v>62.91</v>
      </c>
      <c r="G42" s="171">
        <f t="shared" ref="G42:G54" si="7">D42-J42</f>
        <v>11000</v>
      </c>
      <c r="H42" s="171">
        <f t="shared" ref="H42:H54" si="8">E42-K42</f>
        <v>6920.1</v>
      </c>
      <c r="I42" s="171">
        <f t="shared" si="3"/>
        <v>62.91</v>
      </c>
      <c r="J42" s="170">
        <v>0</v>
      </c>
      <c r="K42" s="170">
        <v>0</v>
      </c>
      <c r="L42" s="171">
        <v>0</v>
      </c>
    </row>
    <row r="43" spans="1:12" s="30" customFormat="1" ht="12" customHeight="1" x14ac:dyDescent="0.2">
      <c r="A43" s="169"/>
      <c r="B43" s="169" t="s">
        <v>116</v>
      </c>
      <c r="C43" s="165" t="s">
        <v>117</v>
      </c>
      <c r="D43" s="170">
        <v>110021</v>
      </c>
      <c r="E43" s="170">
        <v>0</v>
      </c>
      <c r="F43" s="171">
        <f t="shared" si="6"/>
        <v>0</v>
      </c>
      <c r="G43" s="171">
        <f t="shared" si="7"/>
        <v>110021</v>
      </c>
      <c r="H43" s="171">
        <f t="shared" si="8"/>
        <v>0</v>
      </c>
      <c r="I43" s="171">
        <f t="shared" si="3"/>
        <v>0</v>
      </c>
      <c r="J43" s="170">
        <v>0</v>
      </c>
      <c r="K43" s="170">
        <v>0</v>
      </c>
      <c r="L43" s="171">
        <v>0</v>
      </c>
    </row>
    <row r="44" spans="1:12" s="29" customFormat="1" ht="15.75" customHeight="1" x14ac:dyDescent="0.2">
      <c r="A44" s="219" t="s">
        <v>48</v>
      </c>
      <c r="B44" s="219"/>
      <c r="C44" s="221" t="s">
        <v>49</v>
      </c>
      <c r="D44" s="220">
        <f>SUM(D42:D43)</f>
        <v>121021</v>
      </c>
      <c r="E44" s="220">
        <f>SUM(E42:E43)</f>
        <v>6920.1</v>
      </c>
      <c r="F44" s="172">
        <f t="shared" si="6"/>
        <v>5.7180985118285257</v>
      </c>
      <c r="G44" s="172">
        <f t="shared" si="7"/>
        <v>121021</v>
      </c>
      <c r="H44" s="172">
        <f t="shared" si="8"/>
        <v>6920.1</v>
      </c>
      <c r="I44" s="172">
        <f t="shared" si="3"/>
        <v>5.7180985118285257</v>
      </c>
      <c r="J44" s="220">
        <f>SUM(J42:J43)</f>
        <v>0</v>
      </c>
      <c r="K44" s="220">
        <f>SUM(K42:K43)</f>
        <v>0</v>
      </c>
      <c r="L44" s="172">
        <v>0</v>
      </c>
    </row>
    <row r="45" spans="1:12" s="30" customFormat="1" ht="13.5" customHeight="1" x14ac:dyDescent="0.2">
      <c r="A45" s="169"/>
      <c r="B45" s="169" t="s">
        <v>118</v>
      </c>
      <c r="C45" s="165" t="s">
        <v>119</v>
      </c>
      <c r="D45" s="170">
        <v>10712801</v>
      </c>
      <c r="E45" s="170">
        <v>9885234.8599999994</v>
      </c>
      <c r="F45" s="171">
        <f t="shared" si="6"/>
        <v>92.274978878073057</v>
      </c>
      <c r="G45" s="171">
        <f t="shared" si="7"/>
        <v>10673563</v>
      </c>
      <c r="H45" s="171">
        <f t="shared" si="8"/>
        <v>9845997.8499999996</v>
      </c>
      <c r="I45" s="171">
        <f t="shared" si="3"/>
        <v>92.246589540905873</v>
      </c>
      <c r="J45" s="170">
        <v>39238</v>
      </c>
      <c r="K45" s="170">
        <v>39237.01</v>
      </c>
      <c r="L45" s="171">
        <f>K45/J45*100</f>
        <v>99.997476935623624</v>
      </c>
    </row>
    <row r="46" spans="1:12" s="30" customFormat="1" ht="13.5" customHeight="1" x14ac:dyDescent="0.2">
      <c r="A46" s="169"/>
      <c r="B46" s="169" t="s">
        <v>120</v>
      </c>
      <c r="C46" s="40" t="s">
        <v>121</v>
      </c>
      <c r="D46" s="170">
        <v>2190943</v>
      </c>
      <c r="E46" s="170">
        <v>2033892.33</v>
      </c>
      <c r="F46" s="171">
        <f t="shared" si="6"/>
        <v>92.831823100829197</v>
      </c>
      <c r="G46" s="171">
        <f t="shared" si="7"/>
        <v>2190943</v>
      </c>
      <c r="H46" s="171">
        <f t="shared" si="8"/>
        <v>2033892.33</v>
      </c>
      <c r="I46" s="171">
        <f t="shared" si="3"/>
        <v>92.831823100829197</v>
      </c>
      <c r="J46" s="170">
        <v>0</v>
      </c>
      <c r="K46" s="170">
        <v>0</v>
      </c>
      <c r="L46" s="171">
        <v>0</v>
      </c>
    </row>
    <row r="47" spans="1:12" s="30" customFormat="1" ht="13.5" customHeight="1" x14ac:dyDescent="0.2">
      <c r="A47" s="169"/>
      <c r="B47" s="169" t="s">
        <v>122</v>
      </c>
      <c r="C47" s="165" t="s">
        <v>123</v>
      </c>
      <c r="D47" s="170">
        <v>1620191</v>
      </c>
      <c r="E47" s="170">
        <v>1552429.31</v>
      </c>
      <c r="F47" s="171">
        <f t="shared" si="6"/>
        <v>95.817672731177993</v>
      </c>
      <c r="G47" s="171">
        <f t="shared" si="7"/>
        <v>1620191</v>
      </c>
      <c r="H47" s="171">
        <f t="shared" si="8"/>
        <v>1552429.31</v>
      </c>
      <c r="I47" s="171">
        <f t="shared" si="3"/>
        <v>95.817672731177993</v>
      </c>
      <c r="J47" s="170">
        <v>0</v>
      </c>
      <c r="K47" s="170">
        <v>0</v>
      </c>
      <c r="L47" s="171">
        <v>0</v>
      </c>
    </row>
    <row r="48" spans="1:12" s="30" customFormat="1" ht="13.5" customHeight="1" x14ac:dyDescent="0.2">
      <c r="A48" s="169"/>
      <c r="B48" s="169" t="s">
        <v>406</v>
      </c>
      <c r="C48" s="165" t="s">
        <v>156</v>
      </c>
      <c r="D48" s="170">
        <v>294732</v>
      </c>
      <c r="E48" s="170">
        <v>231449.95</v>
      </c>
      <c r="F48" s="171">
        <f t="shared" si="6"/>
        <v>78.528951725635494</v>
      </c>
      <c r="G48" s="171">
        <f>D48</f>
        <v>294732</v>
      </c>
      <c r="H48" s="171">
        <f>E48</f>
        <v>231449.95</v>
      </c>
      <c r="I48" s="171">
        <f>H48/G48*100</f>
        <v>78.528951725635494</v>
      </c>
      <c r="J48" s="170">
        <v>0</v>
      </c>
      <c r="K48" s="170">
        <v>0</v>
      </c>
      <c r="L48" s="171">
        <v>0</v>
      </c>
    </row>
    <row r="49" spans="1:12" s="30" customFormat="1" ht="13.5" customHeight="1" x14ac:dyDescent="0.2">
      <c r="A49" s="169"/>
      <c r="B49" s="169" t="s">
        <v>124</v>
      </c>
      <c r="C49" s="165" t="s">
        <v>125</v>
      </c>
      <c r="D49" s="170">
        <v>265079</v>
      </c>
      <c r="E49" s="170">
        <v>259899.5</v>
      </c>
      <c r="F49" s="171">
        <f t="shared" si="6"/>
        <v>98.046054195164459</v>
      </c>
      <c r="G49" s="171">
        <f t="shared" si="7"/>
        <v>265079</v>
      </c>
      <c r="H49" s="171">
        <f t="shared" si="8"/>
        <v>259899.5</v>
      </c>
      <c r="I49" s="171">
        <f t="shared" si="3"/>
        <v>98.046054195164459</v>
      </c>
      <c r="J49" s="170">
        <v>0</v>
      </c>
      <c r="K49" s="170">
        <v>0</v>
      </c>
      <c r="L49" s="171">
        <v>0</v>
      </c>
    </row>
    <row r="50" spans="1:12" s="30" customFormat="1" ht="13.5" customHeight="1" x14ac:dyDescent="0.2">
      <c r="A50" s="169"/>
      <c r="B50" s="169" t="s">
        <v>126</v>
      </c>
      <c r="C50" s="165" t="s">
        <v>127</v>
      </c>
      <c r="D50" s="170">
        <v>1605</v>
      </c>
      <c r="E50" s="170">
        <v>1540.34</v>
      </c>
      <c r="F50" s="171">
        <f t="shared" si="6"/>
        <v>95.971339563862927</v>
      </c>
      <c r="G50" s="171">
        <f t="shared" si="7"/>
        <v>1605</v>
      </c>
      <c r="H50" s="171">
        <f t="shared" si="8"/>
        <v>1540.34</v>
      </c>
      <c r="I50" s="171">
        <f t="shared" si="3"/>
        <v>95.971339563862927</v>
      </c>
      <c r="J50" s="170">
        <v>0</v>
      </c>
      <c r="K50" s="170">
        <v>0</v>
      </c>
      <c r="L50" s="171">
        <v>0</v>
      </c>
    </row>
    <row r="51" spans="1:12" s="30" customFormat="1" ht="13.5" customHeight="1" x14ac:dyDescent="0.2">
      <c r="A51" s="169"/>
      <c r="B51" s="169" t="s">
        <v>128</v>
      </c>
      <c r="C51" s="165" t="s">
        <v>129</v>
      </c>
      <c r="D51" s="170">
        <v>57524</v>
      </c>
      <c r="E51" s="170">
        <v>47395.32</v>
      </c>
      <c r="F51" s="171">
        <f t="shared" si="6"/>
        <v>82.392253668034215</v>
      </c>
      <c r="G51" s="171">
        <f t="shared" si="7"/>
        <v>57524</v>
      </c>
      <c r="H51" s="171">
        <f t="shared" si="8"/>
        <v>47395.32</v>
      </c>
      <c r="I51" s="171">
        <f t="shared" si="3"/>
        <v>82.392253668034215</v>
      </c>
      <c r="J51" s="170">
        <v>0</v>
      </c>
      <c r="K51" s="170">
        <v>0</v>
      </c>
      <c r="L51" s="171">
        <v>0</v>
      </c>
    </row>
    <row r="52" spans="1:12" s="30" customFormat="1" ht="13.5" customHeight="1" x14ac:dyDescent="0.2">
      <c r="A52" s="169"/>
      <c r="B52" s="169" t="s">
        <v>130</v>
      </c>
      <c r="C52" s="165" t="s">
        <v>200</v>
      </c>
      <c r="D52" s="170">
        <v>415522</v>
      </c>
      <c r="E52" s="170">
        <v>389402.25</v>
      </c>
      <c r="F52" s="171">
        <f t="shared" si="6"/>
        <v>93.713991076284771</v>
      </c>
      <c r="G52" s="171">
        <f t="shared" si="7"/>
        <v>415522</v>
      </c>
      <c r="H52" s="171">
        <f t="shared" si="8"/>
        <v>389402.25</v>
      </c>
      <c r="I52" s="171">
        <f t="shared" si="3"/>
        <v>93.713991076284771</v>
      </c>
      <c r="J52" s="170">
        <v>0</v>
      </c>
      <c r="K52" s="170">
        <v>0</v>
      </c>
      <c r="L52" s="171">
        <v>0</v>
      </c>
    </row>
    <row r="53" spans="1:12" s="30" customFormat="1" ht="56.25" x14ac:dyDescent="0.2">
      <c r="A53" s="169"/>
      <c r="B53" s="169" t="s">
        <v>131</v>
      </c>
      <c r="C53" s="40" t="s">
        <v>132</v>
      </c>
      <c r="D53" s="170">
        <v>385909</v>
      </c>
      <c r="E53" s="170">
        <v>360020.3</v>
      </c>
      <c r="F53" s="171">
        <f t="shared" si="6"/>
        <v>93.291501364311273</v>
      </c>
      <c r="G53" s="171">
        <f t="shared" si="7"/>
        <v>385909</v>
      </c>
      <c r="H53" s="171">
        <f t="shared" si="8"/>
        <v>360020.3</v>
      </c>
      <c r="I53" s="171">
        <f t="shared" si="3"/>
        <v>93.291501364311273</v>
      </c>
      <c r="J53" s="170">
        <v>0</v>
      </c>
      <c r="K53" s="170">
        <v>0</v>
      </c>
      <c r="L53" s="171">
        <v>0</v>
      </c>
    </row>
    <row r="54" spans="1:12" s="30" customFormat="1" ht="34.9" customHeight="1" x14ac:dyDescent="0.2">
      <c r="A54" s="169"/>
      <c r="B54" s="169" t="s">
        <v>133</v>
      </c>
      <c r="C54" s="40" t="s">
        <v>314</v>
      </c>
      <c r="D54" s="170">
        <v>1167030</v>
      </c>
      <c r="E54" s="170">
        <v>1161267</v>
      </c>
      <c r="F54" s="171">
        <f t="shared" si="6"/>
        <v>99.506182360350635</v>
      </c>
      <c r="G54" s="171">
        <f t="shared" si="7"/>
        <v>1167030</v>
      </c>
      <c r="H54" s="171">
        <f t="shared" si="8"/>
        <v>1161267</v>
      </c>
      <c r="I54" s="171">
        <f t="shared" si="3"/>
        <v>99.506182360350635</v>
      </c>
      <c r="J54" s="170">
        <v>0</v>
      </c>
      <c r="K54" s="170">
        <v>0</v>
      </c>
      <c r="L54" s="171">
        <v>0</v>
      </c>
    </row>
    <row r="55" spans="1:12" s="30" customFormat="1" ht="33.75" x14ac:dyDescent="0.2">
      <c r="A55" s="169"/>
      <c r="B55" s="169" t="s">
        <v>321</v>
      </c>
      <c r="C55" s="40" t="s">
        <v>322</v>
      </c>
      <c r="D55" s="170">
        <v>52828.68</v>
      </c>
      <c r="E55" s="170">
        <v>50552.13</v>
      </c>
      <c r="F55" s="171">
        <f>D55/E55*100</f>
        <v>104.50337107457194</v>
      </c>
      <c r="G55" s="171">
        <f>D55-J55</f>
        <v>52828.68</v>
      </c>
      <c r="H55" s="171">
        <f>E55</f>
        <v>50552.13</v>
      </c>
      <c r="I55" s="171">
        <f t="shared" si="3"/>
        <v>95.690693009933241</v>
      </c>
      <c r="J55" s="170">
        <v>0</v>
      </c>
      <c r="K55" s="170">
        <v>0</v>
      </c>
      <c r="L55" s="171">
        <v>0</v>
      </c>
    </row>
    <row r="56" spans="1:12" s="30" customFormat="1" ht="11.25" x14ac:dyDescent="0.2">
      <c r="A56" s="169"/>
      <c r="B56" s="169" t="s">
        <v>134</v>
      </c>
      <c r="C56" s="165" t="s">
        <v>79</v>
      </c>
      <c r="D56" s="170">
        <v>514440.58</v>
      </c>
      <c r="E56" s="170">
        <v>504585.77</v>
      </c>
      <c r="F56" s="171">
        <f t="shared" si="6"/>
        <v>98.084363795717664</v>
      </c>
      <c r="G56" s="171">
        <f>D56-J56</f>
        <v>514440.58</v>
      </c>
      <c r="H56" s="171">
        <f t="shared" ref="H56:H70" si="9">E56-K56</f>
        <v>504585.77</v>
      </c>
      <c r="I56" s="171">
        <f t="shared" si="3"/>
        <v>98.084363795717664</v>
      </c>
      <c r="J56" s="170">
        <v>0</v>
      </c>
      <c r="K56" s="170">
        <v>0</v>
      </c>
      <c r="L56" s="171">
        <v>0</v>
      </c>
    </row>
    <row r="57" spans="1:12" s="30" customFormat="1" ht="12.75" customHeight="1" x14ac:dyDescent="0.2">
      <c r="A57" s="219" t="s">
        <v>53</v>
      </c>
      <c r="B57" s="219"/>
      <c r="C57" s="221" t="s">
        <v>54</v>
      </c>
      <c r="D57" s="220">
        <f>SUM(D45:D56)</f>
        <v>17678605.259999998</v>
      </c>
      <c r="E57" s="220">
        <f>SUM(E45:E56)</f>
        <v>16477669.060000001</v>
      </c>
      <c r="F57" s="172">
        <f t="shared" si="6"/>
        <v>93.20683853540605</v>
      </c>
      <c r="G57" s="172">
        <f>D57-J57</f>
        <v>17639367.259999998</v>
      </c>
      <c r="H57" s="172">
        <f t="shared" si="9"/>
        <v>16438432.050000001</v>
      </c>
      <c r="I57" s="172">
        <f t="shared" si="3"/>
        <v>93.191733057663001</v>
      </c>
      <c r="J57" s="220">
        <f>SUM(J45:J56)</f>
        <v>39238</v>
      </c>
      <c r="K57" s="220">
        <f>SUM(K45:K56)</f>
        <v>39237.01</v>
      </c>
      <c r="L57" s="172">
        <f>K57/J57*100</f>
        <v>99.997476935623624</v>
      </c>
    </row>
    <row r="58" spans="1:12" s="30" customFormat="1" ht="12.75" customHeight="1" x14ac:dyDescent="0.2">
      <c r="A58" s="169"/>
      <c r="B58" s="169" t="s">
        <v>443</v>
      </c>
      <c r="C58" s="165" t="s">
        <v>444</v>
      </c>
      <c r="D58" s="170">
        <v>5000</v>
      </c>
      <c r="E58" s="170">
        <v>5000</v>
      </c>
      <c r="F58" s="171">
        <f>E58/D58*100</f>
        <v>100</v>
      </c>
      <c r="G58" s="171">
        <v>0</v>
      </c>
      <c r="H58" s="171">
        <v>0</v>
      </c>
      <c r="I58" s="171">
        <v>0</v>
      </c>
      <c r="J58" s="170">
        <v>5000</v>
      </c>
      <c r="K58" s="170">
        <v>5000</v>
      </c>
      <c r="L58" s="171">
        <v>100</v>
      </c>
    </row>
    <row r="59" spans="1:12" s="30" customFormat="1" ht="14.25" customHeight="1" x14ac:dyDescent="0.2">
      <c r="A59" s="169"/>
      <c r="B59" s="169" t="s">
        <v>135</v>
      </c>
      <c r="C59" s="40" t="s">
        <v>136</v>
      </c>
      <c r="D59" s="170">
        <v>5000</v>
      </c>
      <c r="E59" s="170">
        <v>4999.38</v>
      </c>
      <c r="F59" s="171">
        <f t="shared" si="6"/>
        <v>99.9876</v>
      </c>
      <c r="G59" s="171">
        <f>D59-J59</f>
        <v>5000</v>
      </c>
      <c r="H59" s="171">
        <f t="shared" si="9"/>
        <v>4999.38</v>
      </c>
      <c r="I59" s="171">
        <f t="shared" si="3"/>
        <v>99.9876</v>
      </c>
      <c r="J59" s="170">
        <v>0</v>
      </c>
      <c r="K59" s="170">
        <v>0</v>
      </c>
      <c r="L59" s="171">
        <v>0</v>
      </c>
    </row>
    <row r="60" spans="1:12" s="30" customFormat="1" ht="15" customHeight="1" x14ac:dyDescent="0.2">
      <c r="A60" s="169"/>
      <c r="B60" s="169" t="s">
        <v>137</v>
      </c>
      <c r="C60" s="165" t="s">
        <v>138</v>
      </c>
      <c r="D60" s="170">
        <v>279458.84000000003</v>
      </c>
      <c r="E60" s="170">
        <v>167215.85999999999</v>
      </c>
      <c r="F60" s="171">
        <f t="shared" si="6"/>
        <v>59.835595109462261</v>
      </c>
      <c r="G60" s="171">
        <f>D60-J60</f>
        <v>279458.84000000003</v>
      </c>
      <c r="H60" s="171">
        <f t="shared" si="9"/>
        <v>167215.85999999999</v>
      </c>
      <c r="I60" s="171">
        <f t="shared" si="3"/>
        <v>59.835595109462261</v>
      </c>
      <c r="J60" s="170">
        <v>0</v>
      </c>
      <c r="K60" s="170">
        <v>0</v>
      </c>
      <c r="L60" s="171">
        <v>0</v>
      </c>
    </row>
    <row r="61" spans="1:12" s="30" customFormat="1" ht="15" customHeight="1" x14ac:dyDescent="0.2">
      <c r="A61" s="169"/>
      <c r="B61" s="169" t="s">
        <v>407</v>
      </c>
      <c r="C61" s="165" t="s">
        <v>79</v>
      </c>
      <c r="D61" s="170">
        <v>68057.509999999995</v>
      </c>
      <c r="E61" s="170">
        <v>35570.03</v>
      </c>
      <c r="F61" s="171">
        <f>E61/D61*100</f>
        <v>52.264665574747006</v>
      </c>
      <c r="G61" s="171">
        <f>D61</f>
        <v>68057.509999999995</v>
      </c>
      <c r="H61" s="171">
        <f>E61</f>
        <v>35570.03</v>
      </c>
      <c r="I61" s="171">
        <f>H61/G61*100</f>
        <v>52.264665574747006</v>
      </c>
      <c r="J61" s="170">
        <v>0</v>
      </c>
      <c r="K61" s="170">
        <v>0</v>
      </c>
      <c r="L61" s="171">
        <v>0</v>
      </c>
    </row>
    <row r="62" spans="1:12" s="29" customFormat="1" ht="13.5" customHeight="1" x14ac:dyDescent="0.2">
      <c r="A62" s="219" t="s">
        <v>139</v>
      </c>
      <c r="B62" s="219"/>
      <c r="C62" s="221" t="s">
        <v>140</v>
      </c>
      <c r="D62" s="220">
        <f>D60+D59+D61+D58</f>
        <v>357516.35000000003</v>
      </c>
      <c r="E62" s="220">
        <f>SUM(E58:E61)</f>
        <v>212785.27</v>
      </c>
      <c r="F62" s="172">
        <f t="shared" si="6"/>
        <v>59.517633249500321</v>
      </c>
      <c r="G62" s="220">
        <f>SUM(G58:G61)</f>
        <v>352516.35000000003</v>
      </c>
      <c r="H62" s="172">
        <f>E62-K62</f>
        <v>207785.27</v>
      </c>
      <c r="I62" s="172">
        <f t="shared" si="3"/>
        <v>58.943441914112626</v>
      </c>
      <c r="J62" s="220">
        <v>5000</v>
      </c>
      <c r="K62" s="220">
        <v>5000</v>
      </c>
      <c r="L62" s="172">
        <f>K62/J62*100</f>
        <v>100</v>
      </c>
    </row>
    <row r="63" spans="1:12" s="30" customFormat="1" ht="22.5" x14ac:dyDescent="0.2">
      <c r="A63" s="169"/>
      <c r="B63" s="169" t="s">
        <v>142</v>
      </c>
      <c r="C63" s="40" t="s">
        <v>201</v>
      </c>
      <c r="D63" s="170">
        <v>6900</v>
      </c>
      <c r="E63" s="170">
        <v>6717.82</v>
      </c>
      <c r="F63" s="171">
        <f t="shared" si="6"/>
        <v>97.359710144927533</v>
      </c>
      <c r="G63" s="171">
        <f t="shared" ref="G63:G70" si="10">D63-J63</f>
        <v>6900</v>
      </c>
      <c r="H63" s="171">
        <f t="shared" si="9"/>
        <v>6717.82</v>
      </c>
      <c r="I63" s="171">
        <f t="shared" si="3"/>
        <v>97.359710144927533</v>
      </c>
      <c r="J63" s="170">
        <v>0</v>
      </c>
      <c r="K63" s="170">
        <v>0</v>
      </c>
      <c r="L63" s="171">
        <v>0</v>
      </c>
    </row>
    <row r="64" spans="1:12" s="30" customFormat="1" ht="60" customHeight="1" x14ac:dyDescent="0.2">
      <c r="A64" s="169"/>
      <c r="B64" s="169" t="s">
        <v>144</v>
      </c>
      <c r="C64" s="40" t="s">
        <v>145</v>
      </c>
      <c r="D64" s="170">
        <v>17080</v>
      </c>
      <c r="E64" s="170">
        <v>15600</v>
      </c>
      <c r="F64" s="171">
        <f t="shared" si="6"/>
        <v>91.334894613583145</v>
      </c>
      <c r="G64" s="171">
        <f t="shared" si="10"/>
        <v>17080</v>
      </c>
      <c r="H64" s="171">
        <f t="shared" si="9"/>
        <v>15600</v>
      </c>
      <c r="I64" s="171">
        <f t="shared" si="3"/>
        <v>91.334894613583145</v>
      </c>
      <c r="J64" s="170">
        <v>0</v>
      </c>
      <c r="K64" s="170">
        <v>0</v>
      </c>
      <c r="L64" s="171">
        <v>0</v>
      </c>
    </row>
    <row r="65" spans="1:12" s="30" customFormat="1" ht="22.5" x14ac:dyDescent="0.2">
      <c r="A65" s="169"/>
      <c r="B65" s="169" t="s">
        <v>146</v>
      </c>
      <c r="C65" s="40" t="s">
        <v>300</v>
      </c>
      <c r="D65" s="170">
        <v>490500</v>
      </c>
      <c r="E65" s="170">
        <v>474436.77</v>
      </c>
      <c r="F65" s="171">
        <f t="shared" si="6"/>
        <v>96.725131498470944</v>
      </c>
      <c r="G65" s="171">
        <f t="shared" si="10"/>
        <v>490500</v>
      </c>
      <c r="H65" s="171">
        <f t="shared" si="9"/>
        <v>474436.77</v>
      </c>
      <c r="I65" s="171">
        <f t="shared" si="3"/>
        <v>96.725131498470944</v>
      </c>
      <c r="J65" s="170">
        <v>0</v>
      </c>
      <c r="K65" s="170">
        <v>0</v>
      </c>
      <c r="L65" s="171">
        <v>0</v>
      </c>
    </row>
    <row r="66" spans="1:12" s="30" customFormat="1" ht="11.25" x14ac:dyDescent="0.2">
      <c r="A66" s="169"/>
      <c r="B66" s="169" t="s">
        <v>147</v>
      </c>
      <c r="C66" s="165" t="s">
        <v>148</v>
      </c>
      <c r="D66" s="170">
        <v>3500</v>
      </c>
      <c r="E66" s="170">
        <v>2107.6999999999998</v>
      </c>
      <c r="F66" s="171">
        <f t="shared" si="6"/>
        <v>60.22</v>
      </c>
      <c r="G66" s="171">
        <f t="shared" si="10"/>
        <v>3500</v>
      </c>
      <c r="H66" s="171">
        <f t="shared" si="9"/>
        <v>2107.6999999999998</v>
      </c>
      <c r="I66" s="171">
        <f t="shared" si="3"/>
        <v>60.22</v>
      </c>
      <c r="J66" s="170">
        <v>0</v>
      </c>
      <c r="K66" s="170">
        <v>0</v>
      </c>
      <c r="L66" s="171">
        <v>0</v>
      </c>
    </row>
    <row r="67" spans="1:12" s="30" customFormat="1" ht="11.25" x14ac:dyDescent="0.2">
      <c r="A67" s="169"/>
      <c r="B67" s="169" t="s">
        <v>149</v>
      </c>
      <c r="C67" s="40" t="s">
        <v>150</v>
      </c>
      <c r="D67" s="170">
        <v>223369</v>
      </c>
      <c r="E67" s="170">
        <v>193594.43</v>
      </c>
      <c r="F67" s="171">
        <f t="shared" si="6"/>
        <v>86.670231768956299</v>
      </c>
      <c r="G67" s="171">
        <f t="shared" si="10"/>
        <v>223369</v>
      </c>
      <c r="H67" s="171">
        <f t="shared" si="9"/>
        <v>193594.43</v>
      </c>
      <c r="I67" s="171">
        <f t="shared" si="3"/>
        <v>86.670231768956299</v>
      </c>
      <c r="J67" s="170">
        <v>0</v>
      </c>
      <c r="K67" s="170">
        <v>0</v>
      </c>
      <c r="L67" s="171">
        <v>0</v>
      </c>
    </row>
    <row r="68" spans="1:12" s="30" customFormat="1" ht="11.25" x14ac:dyDescent="0.2">
      <c r="A68" s="169"/>
      <c r="B68" s="169" t="s">
        <v>151</v>
      </c>
      <c r="C68" s="165" t="s">
        <v>152</v>
      </c>
      <c r="D68" s="170">
        <v>628540</v>
      </c>
      <c r="E68" s="170">
        <v>621540.01</v>
      </c>
      <c r="F68" s="171">
        <f t="shared" si="6"/>
        <v>98.886309542749856</v>
      </c>
      <c r="G68" s="171">
        <f t="shared" si="10"/>
        <v>628540</v>
      </c>
      <c r="H68" s="171">
        <f t="shared" si="9"/>
        <v>621540.01</v>
      </c>
      <c r="I68" s="171">
        <f t="shared" si="3"/>
        <v>98.886309542749856</v>
      </c>
      <c r="J68" s="170">
        <v>0</v>
      </c>
      <c r="K68" s="170">
        <v>0</v>
      </c>
      <c r="L68" s="171">
        <v>0</v>
      </c>
    </row>
    <row r="69" spans="1:12" s="30" customFormat="1" ht="11.25" x14ac:dyDescent="0.2">
      <c r="A69" s="169"/>
      <c r="B69" s="169" t="s">
        <v>153</v>
      </c>
      <c r="C69" s="165" t="s">
        <v>154</v>
      </c>
      <c r="D69" s="170">
        <v>21746</v>
      </c>
      <c r="E69" s="170">
        <v>11374.99</v>
      </c>
      <c r="F69" s="171">
        <f>E69/D69*100</f>
        <v>52.308424537846044</v>
      </c>
      <c r="G69" s="171">
        <f t="shared" si="10"/>
        <v>21746</v>
      </c>
      <c r="H69" s="171">
        <f t="shared" si="9"/>
        <v>11374.99</v>
      </c>
      <c r="I69" s="171">
        <f t="shared" si="3"/>
        <v>52.308424537846044</v>
      </c>
      <c r="J69" s="170">
        <v>0</v>
      </c>
      <c r="K69" s="170">
        <v>0</v>
      </c>
      <c r="L69" s="171">
        <v>0</v>
      </c>
    </row>
    <row r="70" spans="1:12" s="30" customFormat="1" ht="11.25" x14ac:dyDescent="0.2">
      <c r="A70" s="169"/>
      <c r="B70" s="169" t="s">
        <v>301</v>
      </c>
      <c r="C70" s="165" t="s">
        <v>302</v>
      </c>
      <c r="D70" s="170">
        <v>38900</v>
      </c>
      <c r="E70" s="170">
        <v>25131.19</v>
      </c>
      <c r="F70" s="171">
        <f t="shared" ref="F70:F72" si="11">E70/D70*100</f>
        <v>64.604601542416447</v>
      </c>
      <c r="G70" s="171">
        <f t="shared" si="10"/>
        <v>38900</v>
      </c>
      <c r="H70" s="171">
        <f t="shared" si="9"/>
        <v>25131.19</v>
      </c>
      <c r="I70" s="171">
        <f t="shared" si="3"/>
        <v>64.604601542416447</v>
      </c>
      <c r="J70" s="170">
        <v>0</v>
      </c>
      <c r="K70" s="170">
        <v>0</v>
      </c>
      <c r="L70" s="171">
        <v>0</v>
      </c>
    </row>
    <row r="71" spans="1:12" s="30" customFormat="1" ht="11.25" x14ac:dyDescent="0.2">
      <c r="A71" s="169"/>
      <c r="B71" s="169" t="s">
        <v>155</v>
      </c>
      <c r="C71" s="165" t="s">
        <v>79</v>
      </c>
      <c r="D71" s="170">
        <v>5211715</v>
      </c>
      <c r="E71" s="170">
        <v>4800932.95</v>
      </c>
      <c r="F71" s="171">
        <f t="shared" si="11"/>
        <v>92.11810219860449</v>
      </c>
      <c r="G71" s="171">
        <f>D71</f>
        <v>5211715</v>
      </c>
      <c r="H71" s="171">
        <f>E71</f>
        <v>4800932.95</v>
      </c>
      <c r="I71" s="171">
        <f t="shared" si="3"/>
        <v>92.11810219860449</v>
      </c>
      <c r="J71" s="170">
        <v>0</v>
      </c>
      <c r="K71" s="170">
        <v>0</v>
      </c>
      <c r="L71" s="171">
        <v>0</v>
      </c>
    </row>
    <row r="72" spans="1:12" s="29" customFormat="1" ht="12.75" customHeight="1" x14ac:dyDescent="0.2">
      <c r="A72" s="219" t="s">
        <v>57</v>
      </c>
      <c r="B72" s="219"/>
      <c r="C72" s="221" t="s">
        <v>58</v>
      </c>
      <c r="D72" s="220">
        <f>SUM(D63:D71)</f>
        <v>6642250</v>
      </c>
      <c r="E72" s="220">
        <f>SUM(E63:E71)</f>
        <v>6151435.8600000003</v>
      </c>
      <c r="F72" s="172">
        <f t="shared" si="11"/>
        <v>92.610724679137348</v>
      </c>
      <c r="G72" s="172">
        <f t="shared" ref="G72:G83" si="12">D72-J72</f>
        <v>6642250</v>
      </c>
      <c r="H72" s="172">
        <f t="shared" ref="H72:H83" si="13">E72-K72</f>
        <v>6151435.8600000003</v>
      </c>
      <c r="I72" s="172">
        <f t="shared" ref="I72:I92" si="14">H72/G72*100</f>
        <v>92.610724679137348</v>
      </c>
      <c r="J72" s="220">
        <f>SUM(J63:J71)</f>
        <v>0</v>
      </c>
      <c r="K72" s="220">
        <f>SUM(K63:K71)</f>
        <v>0</v>
      </c>
      <c r="L72" s="172">
        <v>0</v>
      </c>
    </row>
    <row r="73" spans="1:12" s="30" customFormat="1" ht="12.75" customHeight="1" x14ac:dyDescent="0.2">
      <c r="A73" s="169"/>
      <c r="B73" s="169" t="s">
        <v>445</v>
      </c>
      <c r="C73" s="165" t="s">
        <v>446</v>
      </c>
      <c r="D73" s="170">
        <v>1500</v>
      </c>
      <c r="E73" s="170">
        <v>1500</v>
      </c>
      <c r="F73" s="171">
        <f>E73/D73*100</f>
        <v>100</v>
      </c>
      <c r="G73" s="171">
        <f>D73</f>
        <v>1500</v>
      </c>
      <c r="H73" s="171">
        <f>E73</f>
        <v>1500</v>
      </c>
      <c r="I73" s="171">
        <f>H73/G73*100</f>
        <v>100</v>
      </c>
      <c r="J73" s="170">
        <v>0</v>
      </c>
      <c r="K73" s="170">
        <v>0</v>
      </c>
      <c r="L73" s="171">
        <v>0</v>
      </c>
    </row>
    <row r="74" spans="1:12" s="29" customFormat="1" ht="24.75" customHeight="1" x14ac:dyDescent="0.2">
      <c r="A74" s="219" t="s">
        <v>393</v>
      </c>
      <c r="B74" s="219"/>
      <c r="C74" s="39" t="s">
        <v>394</v>
      </c>
      <c r="D74" s="220">
        <f>D73</f>
        <v>1500</v>
      </c>
      <c r="E74" s="220">
        <f>E73</f>
        <v>1500</v>
      </c>
      <c r="F74" s="172">
        <f>E74/D74*100</f>
        <v>100</v>
      </c>
      <c r="G74" s="172">
        <f>G73</f>
        <v>1500</v>
      </c>
      <c r="H74" s="172">
        <f>H73</f>
        <v>1500</v>
      </c>
      <c r="I74" s="172">
        <f>H74/G74*100</f>
        <v>100</v>
      </c>
      <c r="J74" s="220">
        <v>0</v>
      </c>
      <c r="K74" s="220">
        <v>0</v>
      </c>
      <c r="L74" s="172">
        <v>0</v>
      </c>
    </row>
    <row r="75" spans="1:12" s="30" customFormat="1" ht="11.25" x14ac:dyDescent="0.2">
      <c r="A75" s="169"/>
      <c r="B75" s="169" t="s">
        <v>157</v>
      </c>
      <c r="C75" s="165" t="s">
        <v>303</v>
      </c>
      <c r="D75" s="170">
        <v>94315</v>
      </c>
      <c r="E75" s="170">
        <v>34076.300000000003</v>
      </c>
      <c r="F75" s="171">
        <f t="shared" ref="F75:F104" si="15">E75/D75*100</f>
        <v>36.130308010390713</v>
      </c>
      <c r="G75" s="171">
        <f t="shared" si="12"/>
        <v>94315</v>
      </c>
      <c r="H75" s="171">
        <f t="shared" si="13"/>
        <v>34076.300000000003</v>
      </c>
      <c r="I75" s="171">
        <f t="shared" si="14"/>
        <v>36.130308010390713</v>
      </c>
      <c r="J75" s="170">
        <v>0</v>
      </c>
      <c r="K75" s="170">
        <v>0</v>
      </c>
      <c r="L75" s="171">
        <v>0</v>
      </c>
    </row>
    <row r="76" spans="1:12" s="30" customFormat="1" ht="11.25" x14ac:dyDescent="0.2">
      <c r="A76" s="169"/>
      <c r="B76" s="169" t="s">
        <v>158</v>
      </c>
      <c r="C76" s="165" t="s">
        <v>129</v>
      </c>
      <c r="D76" s="170">
        <v>2116</v>
      </c>
      <c r="E76" s="170">
        <v>1146</v>
      </c>
      <c r="F76" s="171">
        <f t="shared" si="15"/>
        <v>54.15879017013232</v>
      </c>
      <c r="G76" s="171">
        <f t="shared" si="12"/>
        <v>2116</v>
      </c>
      <c r="H76" s="171">
        <f t="shared" si="13"/>
        <v>1146</v>
      </c>
      <c r="I76" s="171">
        <f t="shared" si="14"/>
        <v>54.15879017013232</v>
      </c>
      <c r="J76" s="170">
        <v>0</v>
      </c>
      <c r="K76" s="170">
        <v>0</v>
      </c>
      <c r="L76" s="171">
        <v>0</v>
      </c>
    </row>
    <row r="77" spans="1:12" s="30" customFormat="1" ht="11.25" x14ac:dyDescent="0.2">
      <c r="A77" s="169"/>
      <c r="B77" s="169" t="s">
        <v>159</v>
      </c>
      <c r="C77" s="165" t="s">
        <v>79</v>
      </c>
      <c r="D77" s="170">
        <v>1500</v>
      </c>
      <c r="E77" s="170">
        <v>1500</v>
      </c>
      <c r="F77" s="171">
        <f t="shared" si="15"/>
        <v>100</v>
      </c>
      <c r="G77" s="171">
        <f t="shared" si="12"/>
        <v>1500</v>
      </c>
      <c r="H77" s="171">
        <f t="shared" si="13"/>
        <v>1500</v>
      </c>
      <c r="I77" s="171">
        <f t="shared" si="14"/>
        <v>100</v>
      </c>
      <c r="J77" s="170">
        <v>0</v>
      </c>
      <c r="K77" s="170">
        <v>0</v>
      </c>
      <c r="L77" s="171">
        <v>0</v>
      </c>
    </row>
    <row r="78" spans="1:12" s="29" customFormat="1" ht="15" customHeight="1" x14ac:dyDescent="0.2">
      <c r="A78" s="219" t="s">
        <v>59</v>
      </c>
      <c r="B78" s="219"/>
      <c r="C78" s="221" t="s">
        <v>60</v>
      </c>
      <c r="D78" s="220">
        <f>SUM(D75:D77)</f>
        <v>97931</v>
      </c>
      <c r="E78" s="220">
        <f>SUM(E75:E77)</f>
        <v>36722.300000000003</v>
      </c>
      <c r="F78" s="172">
        <f t="shared" si="15"/>
        <v>37.498136443005791</v>
      </c>
      <c r="G78" s="172">
        <f t="shared" si="12"/>
        <v>97931</v>
      </c>
      <c r="H78" s="172">
        <f t="shared" si="13"/>
        <v>36722.300000000003</v>
      </c>
      <c r="I78" s="172">
        <f t="shared" si="14"/>
        <v>37.498136443005791</v>
      </c>
      <c r="J78" s="220">
        <f>SUM(J75:J77)</f>
        <v>0</v>
      </c>
      <c r="K78" s="220">
        <f>SUM(K75:K77)</f>
        <v>0</v>
      </c>
      <c r="L78" s="172">
        <v>0</v>
      </c>
    </row>
    <row r="79" spans="1:12" s="30" customFormat="1" ht="11.25" x14ac:dyDescent="0.2">
      <c r="A79" s="169"/>
      <c r="B79" s="169" t="s">
        <v>293</v>
      </c>
      <c r="C79" s="165" t="s">
        <v>266</v>
      </c>
      <c r="D79" s="170">
        <v>2732156</v>
      </c>
      <c r="E79" s="170">
        <v>2730972.3</v>
      </c>
      <c r="F79" s="171">
        <f t="shared" si="15"/>
        <v>99.956675241091645</v>
      </c>
      <c r="G79" s="171">
        <f t="shared" si="12"/>
        <v>2732156</v>
      </c>
      <c r="H79" s="171">
        <f t="shared" si="13"/>
        <v>2730972.3</v>
      </c>
      <c r="I79" s="171">
        <f t="shared" si="14"/>
        <v>99.956675241091645</v>
      </c>
      <c r="J79" s="170">
        <v>0</v>
      </c>
      <c r="K79" s="170">
        <v>0</v>
      </c>
      <c r="L79" s="171">
        <v>0</v>
      </c>
    </row>
    <row r="80" spans="1:12" s="30" customFormat="1" ht="33.75" x14ac:dyDescent="0.2">
      <c r="A80" s="169"/>
      <c r="B80" s="169" t="s">
        <v>294</v>
      </c>
      <c r="C80" s="40" t="s">
        <v>306</v>
      </c>
      <c r="D80" s="170">
        <v>1629789</v>
      </c>
      <c r="E80" s="170">
        <v>1629049.97</v>
      </c>
      <c r="F80" s="171">
        <f t="shared" si="15"/>
        <v>99.954654866366127</v>
      </c>
      <c r="G80" s="171">
        <f t="shared" si="12"/>
        <v>1629789</v>
      </c>
      <c r="H80" s="171">
        <f t="shared" si="13"/>
        <v>1629049.97</v>
      </c>
      <c r="I80" s="171">
        <f t="shared" si="14"/>
        <v>99.954654866366127</v>
      </c>
      <c r="J80" s="170">
        <v>0</v>
      </c>
      <c r="K80" s="170">
        <v>0</v>
      </c>
      <c r="L80" s="171">
        <v>0</v>
      </c>
    </row>
    <row r="81" spans="1:12" s="30" customFormat="1" ht="11.25" x14ac:dyDescent="0.2">
      <c r="A81" s="169"/>
      <c r="B81" s="169" t="s">
        <v>295</v>
      </c>
      <c r="C81" s="165" t="s">
        <v>297</v>
      </c>
      <c r="D81" s="170">
        <v>601</v>
      </c>
      <c r="E81" s="170">
        <v>601</v>
      </c>
      <c r="F81" s="171">
        <f t="shared" si="15"/>
        <v>100</v>
      </c>
      <c r="G81" s="171">
        <f t="shared" si="12"/>
        <v>601</v>
      </c>
      <c r="H81" s="171">
        <f t="shared" si="13"/>
        <v>601</v>
      </c>
      <c r="I81" s="171">
        <f t="shared" si="14"/>
        <v>100</v>
      </c>
      <c r="J81" s="170">
        <v>0</v>
      </c>
      <c r="K81" s="170">
        <v>0</v>
      </c>
      <c r="L81" s="171">
        <v>0</v>
      </c>
    </row>
    <row r="82" spans="1:12" s="30" customFormat="1" ht="11.25" x14ac:dyDescent="0.2">
      <c r="A82" s="169"/>
      <c r="B82" s="169" t="s">
        <v>304</v>
      </c>
      <c r="C82" s="165" t="s">
        <v>143</v>
      </c>
      <c r="D82" s="170">
        <v>41205</v>
      </c>
      <c r="E82" s="170">
        <v>32456.45</v>
      </c>
      <c r="F82" s="171">
        <f t="shared" si="15"/>
        <v>78.768232010678318</v>
      </c>
      <c r="G82" s="171">
        <f t="shared" si="12"/>
        <v>41205</v>
      </c>
      <c r="H82" s="171">
        <f t="shared" si="13"/>
        <v>32456.45</v>
      </c>
      <c r="I82" s="171">
        <f t="shared" si="14"/>
        <v>78.768232010678318</v>
      </c>
      <c r="J82" s="170">
        <f t="shared" ref="J82:J83" si="16">J81</f>
        <v>0</v>
      </c>
      <c r="K82" s="170">
        <v>0</v>
      </c>
      <c r="L82" s="171">
        <v>0</v>
      </c>
    </row>
    <row r="83" spans="1:12" s="30" customFormat="1" ht="11.25" x14ac:dyDescent="0.2">
      <c r="A83" s="169"/>
      <c r="B83" s="169" t="s">
        <v>305</v>
      </c>
      <c r="C83" s="165" t="s">
        <v>141</v>
      </c>
      <c r="D83" s="170">
        <v>19695</v>
      </c>
      <c r="E83" s="170">
        <v>13055.72</v>
      </c>
      <c r="F83" s="171">
        <f t="shared" si="15"/>
        <v>66.289515105356685</v>
      </c>
      <c r="G83" s="171">
        <f t="shared" si="12"/>
        <v>19695</v>
      </c>
      <c r="H83" s="171">
        <f t="shared" si="13"/>
        <v>13055.72</v>
      </c>
      <c r="I83" s="171">
        <f t="shared" si="14"/>
        <v>66.289515105356685</v>
      </c>
      <c r="J83" s="170">
        <f t="shared" si="16"/>
        <v>0</v>
      </c>
      <c r="K83" s="170">
        <v>0</v>
      </c>
      <c r="L83" s="171">
        <v>0</v>
      </c>
    </row>
    <row r="84" spans="1:12" s="30" customFormat="1" ht="22.5" x14ac:dyDescent="0.2">
      <c r="A84" s="169"/>
      <c r="B84" s="169" t="s">
        <v>409</v>
      </c>
      <c r="C84" s="40" t="s">
        <v>410</v>
      </c>
      <c r="D84" s="170">
        <v>94800</v>
      </c>
      <c r="E84" s="170">
        <v>83905.66</v>
      </c>
      <c r="F84" s="171">
        <f t="shared" si="15"/>
        <v>88.508080168776374</v>
      </c>
      <c r="G84" s="171">
        <v>94800</v>
      </c>
      <c r="H84" s="171">
        <f>E84</f>
        <v>83905.66</v>
      </c>
      <c r="I84" s="171">
        <f>H84/G84*100</f>
        <v>88.508080168776374</v>
      </c>
      <c r="J84" s="170">
        <v>0</v>
      </c>
      <c r="K84" s="170">
        <v>0</v>
      </c>
      <c r="L84" s="171">
        <v>0</v>
      </c>
    </row>
    <row r="85" spans="1:12" s="30" customFormat="1" ht="78.75" x14ac:dyDescent="0.2">
      <c r="A85" s="169"/>
      <c r="B85" s="169" t="s">
        <v>323</v>
      </c>
      <c r="C85" s="40" t="s">
        <v>324</v>
      </c>
      <c r="D85" s="170">
        <v>15958</v>
      </c>
      <c r="E85" s="170">
        <v>15958</v>
      </c>
      <c r="F85" s="171">
        <f t="shared" si="15"/>
        <v>100</v>
      </c>
      <c r="G85" s="171">
        <f>D85</f>
        <v>15958</v>
      </c>
      <c r="H85" s="171">
        <f>E85</f>
        <v>15958</v>
      </c>
      <c r="I85" s="171">
        <f t="shared" si="14"/>
        <v>100</v>
      </c>
      <c r="J85" s="170">
        <v>0</v>
      </c>
      <c r="K85" s="170">
        <v>0</v>
      </c>
      <c r="L85" s="171">
        <v>0</v>
      </c>
    </row>
    <row r="86" spans="1:12" s="29" customFormat="1" ht="14.25" customHeight="1" x14ac:dyDescent="0.2">
      <c r="A86" s="219" t="s">
        <v>291</v>
      </c>
      <c r="B86" s="219"/>
      <c r="C86" s="39" t="s">
        <v>292</v>
      </c>
      <c r="D86" s="220">
        <f>SUM(D79:D85)</f>
        <v>4534204</v>
      </c>
      <c r="E86" s="220">
        <f>SUM(E79:E85)</f>
        <v>4505999.0999999996</v>
      </c>
      <c r="F86" s="172">
        <f t="shared" si="15"/>
        <v>99.377952557935188</v>
      </c>
      <c r="G86" s="172">
        <f t="shared" ref="G86:H89" si="17">D86-J86</f>
        <v>4534204</v>
      </c>
      <c r="H86" s="172">
        <f t="shared" si="17"/>
        <v>4505999.0999999996</v>
      </c>
      <c r="I86" s="172">
        <f t="shared" si="14"/>
        <v>99.377952557935188</v>
      </c>
      <c r="J86" s="220">
        <f>SUM(J79:J83)</f>
        <v>0</v>
      </c>
      <c r="K86" s="220">
        <f>SUM(K79:K83)</f>
        <v>0</v>
      </c>
      <c r="L86" s="172">
        <v>0</v>
      </c>
    </row>
    <row r="87" spans="1:12" s="30" customFormat="1" ht="11.25" x14ac:dyDescent="0.2">
      <c r="A87" s="169"/>
      <c r="B87" s="169" t="s">
        <v>160</v>
      </c>
      <c r="C87" s="165" t="s">
        <v>161</v>
      </c>
      <c r="D87" s="170">
        <v>434200</v>
      </c>
      <c r="E87" s="170">
        <v>324670.06</v>
      </c>
      <c r="F87" s="171">
        <f t="shared" si="15"/>
        <v>74.77431137724551</v>
      </c>
      <c r="G87" s="171">
        <f t="shared" si="17"/>
        <v>434200</v>
      </c>
      <c r="H87" s="171">
        <f t="shared" si="17"/>
        <v>324670.06</v>
      </c>
      <c r="I87" s="171">
        <f t="shared" si="14"/>
        <v>74.77431137724551</v>
      </c>
      <c r="J87" s="170">
        <v>0</v>
      </c>
      <c r="K87" s="170">
        <v>0</v>
      </c>
      <c r="L87" s="171">
        <v>0</v>
      </c>
    </row>
    <row r="88" spans="1:12" s="30" customFormat="1" ht="11.25" x14ac:dyDescent="0.2">
      <c r="A88" s="169"/>
      <c r="B88" s="169" t="s">
        <v>162</v>
      </c>
      <c r="C88" s="165" t="s">
        <v>163</v>
      </c>
      <c r="D88" s="170">
        <v>60375.24</v>
      </c>
      <c r="E88" s="170">
        <v>54251.3</v>
      </c>
      <c r="F88" s="171">
        <f t="shared" si="15"/>
        <v>89.856868477872723</v>
      </c>
      <c r="G88" s="171">
        <f t="shared" si="17"/>
        <v>60375.24</v>
      </c>
      <c r="H88" s="171">
        <f t="shared" si="17"/>
        <v>54251.3</v>
      </c>
      <c r="I88" s="171">
        <f t="shared" si="14"/>
        <v>89.856868477872723</v>
      </c>
      <c r="J88" s="170">
        <v>0</v>
      </c>
      <c r="K88" s="170">
        <v>0</v>
      </c>
      <c r="L88" s="171">
        <v>0</v>
      </c>
    </row>
    <row r="89" spans="1:12" s="30" customFormat="1" ht="11.25" x14ac:dyDescent="0.2">
      <c r="A89" s="169"/>
      <c r="B89" s="169" t="s">
        <v>374</v>
      </c>
      <c r="C89" s="165" t="s">
        <v>375</v>
      </c>
      <c r="D89" s="170">
        <v>45155</v>
      </c>
      <c r="E89" s="170">
        <v>43299.06</v>
      </c>
      <c r="F89" s="171">
        <f t="shared" si="15"/>
        <v>95.889846085704789</v>
      </c>
      <c r="G89" s="171">
        <f t="shared" si="17"/>
        <v>45155</v>
      </c>
      <c r="H89" s="171">
        <f t="shared" si="17"/>
        <v>43299.06</v>
      </c>
      <c r="I89" s="171">
        <f>G89/H89*100</f>
        <v>104.28632861775753</v>
      </c>
      <c r="J89" s="170">
        <v>0</v>
      </c>
      <c r="K89" s="170">
        <v>0</v>
      </c>
      <c r="L89" s="171">
        <v>0</v>
      </c>
    </row>
    <row r="90" spans="1:12" s="30" customFormat="1" ht="11.25" x14ac:dyDescent="0.2">
      <c r="A90" s="169"/>
      <c r="B90" s="169" t="s">
        <v>164</v>
      </c>
      <c r="C90" s="165" t="s">
        <v>165</v>
      </c>
      <c r="D90" s="170">
        <v>1371834</v>
      </c>
      <c r="E90" s="170">
        <v>892415.5</v>
      </c>
      <c r="F90" s="171">
        <f t="shared" si="15"/>
        <v>65.052732327672302</v>
      </c>
      <c r="G90" s="171">
        <v>1353384</v>
      </c>
      <c r="H90" s="171">
        <v>873965.5</v>
      </c>
      <c r="I90" s="171">
        <f t="shared" si="14"/>
        <v>64.576313891696671</v>
      </c>
      <c r="J90" s="170">
        <f>D90-G90</f>
        <v>18450</v>
      </c>
      <c r="K90" s="170">
        <f>E90-H90</f>
        <v>18450</v>
      </c>
      <c r="L90" s="171">
        <f>K90/J90*100</f>
        <v>100</v>
      </c>
    </row>
    <row r="91" spans="1:12" s="30" customFormat="1" ht="22.5" x14ac:dyDescent="0.2">
      <c r="A91" s="169"/>
      <c r="B91" s="169" t="s">
        <v>327</v>
      </c>
      <c r="C91" s="40" t="s">
        <v>328</v>
      </c>
      <c r="D91" s="170">
        <v>6000</v>
      </c>
      <c r="E91" s="170">
        <v>3692</v>
      </c>
      <c r="F91" s="171">
        <f t="shared" si="15"/>
        <v>61.533333333333331</v>
      </c>
      <c r="G91" s="171">
        <f t="shared" ref="G91:H93" si="18">D91-J91</f>
        <v>6000</v>
      </c>
      <c r="H91" s="171">
        <f t="shared" si="18"/>
        <v>3692</v>
      </c>
      <c r="I91" s="171">
        <f t="shared" si="14"/>
        <v>61.533333333333331</v>
      </c>
      <c r="J91" s="170">
        <v>0</v>
      </c>
      <c r="K91" s="170">
        <v>0</v>
      </c>
      <c r="L91" s="171">
        <v>0</v>
      </c>
    </row>
    <row r="92" spans="1:12" s="30" customFormat="1" ht="22.5" x14ac:dyDescent="0.2">
      <c r="A92" s="169"/>
      <c r="B92" s="169" t="s">
        <v>376</v>
      </c>
      <c r="C92" s="40" t="s">
        <v>377</v>
      </c>
      <c r="D92" s="170">
        <v>10088</v>
      </c>
      <c r="E92" s="170">
        <v>9968</v>
      </c>
      <c r="F92" s="171">
        <f t="shared" si="15"/>
        <v>98.810467882632835</v>
      </c>
      <c r="G92" s="171">
        <f t="shared" si="18"/>
        <v>10088</v>
      </c>
      <c r="H92" s="171">
        <f t="shared" si="18"/>
        <v>9968</v>
      </c>
      <c r="I92" s="171">
        <f t="shared" si="14"/>
        <v>98.810467882632835</v>
      </c>
      <c r="J92" s="170">
        <v>0</v>
      </c>
      <c r="K92" s="170">
        <v>0</v>
      </c>
      <c r="L92" s="171">
        <v>0</v>
      </c>
    </row>
    <row r="93" spans="1:12" s="30" customFormat="1" ht="11.25" x14ac:dyDescent="0.2">
      <c r="A93" s="169"/>
      <c r="B93" s="169" t="s">
        <v>166</v>
      </c>
      <c r="C93" s="165" t="s">
        <v>79</v>
      </c>
      <c r="D93" s="170">
        <v>169866</v>
      </c>
      <c r="E93" s="170">
        <v>141127.99</v>
      </c>
      <c r="F93" s="171">
        <f t="shared" si="15"/>
        <v>83.081952833409858</v>
      </c>
      <c r="G93" s="171">
        <f t="shared" si="18"/>
        <v>54000</v>
      </c>
      <c r="H93" s="171">
        <f t="shared" si="18"/>
        <v>46927.989999999991</v>
      </c>
      <c r="I93" s="171">
        <f>H93/G93*100</f>
        <v>86.903685185185168</v>
      </c>
      <c r="J93" s="170">
        <v>115866</v>
      </c>
      <c r="K93" s="170">
        <v>94200</v>
      </c>
      <c r="L93" s="171">
        <f>K93/J93*100</f>
        <v>81.300813008130078</v>
      </c>
    </row>
    <row r="94" spans="1:12" s="29" customFormat="1" ht="26.25" customHeight="1" x14ac:dyDescent="0.2">
      <c r="A94" s="219" t="s">
        <v>61</v>
      </c>
      <c r="B94" s="219"/>
      <c r="C94" s="39" t="s">
        <v>62</v>
      </c>
      <c r="D94" s="220">
        <f>SUM(D87:D93)</f>
        <v>2097518.2400000002</v>
      </c>
      <c r="E94" s="220">
        <f>SUM(E87:E93)</f>
        <v>1469423.91</v>
      </c>
      <c r="F94" s="172">
        <f t="shared" si="15"/>
        <v>70.055357897626664</v>
      </c>
      <c r="G94" s="172">
        <f t="shared" ref="G94:H102" si="19">D94-J94</f>
        <v>1963202.2400000002</v>
      </c>
      <c r="H94" s="172">
        <f t="shared" si="19"/>
        <v>1356773.91</v>
      </c>
      <c r="I94" s="172">
        <f>H94/G94*100</f>
        <v>69.110246634600401</v>
      </c>
      <c r="J94" s="220">
        <f>SUM(J87:J93)</f>
        <v>134316</v>
      </c>
      <c r="K94" s="220">
        <f>SUM(K87:K93)</f>
        <v>112650</v>
      </c>
      <c r="L94" s="172">
        <v>100</v>
      </c>
    </row>
    <row r="95" spans="1:12" s="30" customFormat="1" ht="11.25" x14ac:dyDescent="0.2">
      <c r="A95" s="169"/>
      <c r="B95" s="169" t="s">
        <v>276</v>
      </c>
      <c r="C95" s="40" t="s">
        <v>287</v>
      </c>
      <c r="D95" s="170">
        <v>25000</v>
      </c>
      <c r="E95" s="170">
        <v>25000</v>
      </c>
      <c r="F95" s="171">
        <f t="shared" si="15"/>
        <v>100</v>
      </c>
      <c r="G95" s="171">
        <f t="shared" si="19"/>
        <v>25000</v>
      </c>
      <c r="H95" s="171">
        <f t="shared" si="19"/>
        <v>25000</v>
      </c>
      <c r="I95" s="171">
        <f t="shared" ref="I95:I99" si="20">H95/G95*100</f>
        <v>100</v>
      </c>
      <c r="J95" s="170">
        <v>0</v>
      </c>
      <c r="K95" s="170">
        <v>0</v>
      </c>
      <c r="L95" s="171">
        <v>0</v>
      </c>
    </row>
    <row r="96" spans="1:12" s="30" customFormat="1" ht="11.25" x14ac:dyDescent="0.2">
      <c r="A96" s="169"/>
      <c r="B96" s="169" t="s">
        <v>447</v>
      </c>
      <c r="C96" s="40" t="s">
        <v>448</v>
      </c>
      <c r="D96" s="170">
        <v>207027.95</v>
      </c>
      <c r="E96" s="170">
        <v>207027.45</v>
      </c>
      <c r="F96" s="171">
        <f t="shared" si="15"/>
        <v>99.999758486716402</v>
      </c>
      <c r="G96" s="171">
        <v>0</v>
      </c>
      <c r="H96" s="171">
        <v>0</v>
      </c>
      <c r="I96" s="171">
        <v>0</v>
      </c>
      <c r="J96" s="170">
        <f>D96</f>
        <v>207027.95</v>
      </c>
      <c r="K96" s="170">
        <f>E96</f>
        <v>207027.45</v>
      </c>
      <c r="L96" s="171">
        <v>100</v>
      </c>
    </row>
    <row r="97" spans="1:12" s="30" customFormat="1" ht="11.25" x14ac:dyDescent="0.2">
      <c r="A97" s="169"/>
      <c r="B97" s="169" t="s">
        <v>167</v>
      </c>
      <c r="C97" s="165" t="s">
        <v>168</v>
      </c>
      <c r="D97" s="170">
        <v>380584</v>
      </c>
      <c r="E97" s="170">
        <v>355125.93</v>
      </c>
      <c r="F97" s="171">
        <f t="shared" si="15"/>
        <v>93.310788157147968</v>
      </c>
      <c r="G97" s="171">
        <f t="shared" si="19"/>
        <v>380584</v>
      </c>
      <c r="H97" s="171">
        <f t="shared" si="19"/>
        <v>355125.93</v>
      </c>
      <c r="I97" s="171">
        <f t="shared" si="20"/>
        <v>93.310788157147968</v>
      </c>
      <c r="J97" s="170">
        <v>0</v>
      </c>
      <c r="K97" s="170">
        <v>0</v>
      </c>
      <c r="L97" s="171">
        <v>0</v>
      </c>
    </row>
    <row r="98" spans="1:12" s="30" customFormat="1" ht="11.25" x14ac:dyDescent="0.2">
      <c r="A98" s="169"/>
      <c r="B98" s="169" t="s">
        <v>169</v>
      </c>
      <c r="C98" s="165" t="s">
        <v>170</v>
      </c>
      <c r="D98" s="170">
        <v>104000</v>
      </c>
      <c r="E98" s="170">
        <v>3512</v>
      </c>
      <c r="F98" s="171">
        <f t="shared" si="15"/>
        <v>3.3769230769230765</v>
      </c>
      <c r="G98" s="171">
        <v>10000</v>
      </c>
      <c r="H98" s="171">
        <v>3512</v>
      </c>
      <c r="I98" s="171">
        <f t="shared" si="20"/>
        <v>35.120000000000005</v>
      </c>
      <c r="J98" s="170">
        <v>94000</v>
      </c>
      <c r="K98" s="170">
        <v>0</v>
      </c>
      <c r="L98" s="171">
        <f>K98/J98*100</f>
        <v>0</v>
      </c>
    </row>
    <row r="99" spans="1:12" s="30" customFormat="1" ht="11.25" x14ac:dyDescent="0.2">
      <c r="A99" s="169"/>
      <c r="B99" s="169" t="s">
        <v>171</v>
      </c>
      <c r="C99" s="259" t="s">
        <v>79</v>
      </c>
      <c r="D99" s="170">
        <v>44000</v>
      </c>
      <c r="E99" s="170">
        <v>36000</v>
      </c>
      <c r="F99" s="171">
        <f t="shared" si="15"/>
        <v>81.818181818181827</v>
      </c>
      <c r="G99" s="171">
        <f t="shared" si="19"/>
        <v>44000</v>
      </c>
      <c r="H99" s="171">
        <f t="shared" si="19"/>
        <v>36000</v>
      </c>
      <c r="I99" s="171">
        <f t="shared" si="20"/>
        <v>81.818181818181827</v>
      </c>
      <c r="J99" s="170">
        <v>0</v>
      </c>
      <c r="K99" s="170">
        <v>0</v>
      </c>
      <c r="L99" s="171">
        <v>0</v>
      </c>
    </row>
    <row r="100" spans="1:12" s="30" customFormat="1" ht="22.5" x14ac:dyDescent="0.2">
      <c r="A100" s="219" t="s">
        <v>172</v>
      </c>
      <c r="B100" s="219"/>
      <c r="C100" s="39" t="s">
        <v>173</v>
      </c>
      <c r="D100" s="220">
        <f>SUM(D95:D99)</f>
        <v>760611.95</v>
      </c>
      <c r="E100" s="220">
        <f>SUM(E95:E99)</f>
        <v>626665.38</v>
      </c>
      <c r="F100" s="172">
        <f t="shared" si="15"/>
        <v>82.389631138453723</v>
      </c>
      <c r="G100" s="172">
        <f t="shared" si="19"/>
        <v>459583.99999999994</v>
      </c>
      <c r="H100" s="172">
        <f t="shared" si="19"/>
        <v>419637.93</v>
      </c>
      <c r="I100" s="172">
        <f>H100/G100*100</f>
        <v>91.308211338950017</v>
      </c>
      <c r="J100" s="220">
        <f>SUM(J95:J99)</f>
        <v>301027.95</v>
      </c>
      <c r="K100" s="220">
        <f>SUM(K95:K99)</f>
        <v>207027.45</v>
      </c>
      <c r="L100" s="172">
        <f>J100/K100*100</f>
        <v>145.40484848748318</v>
      </c>
    </row>
    <row r="101" spans="1:12" s="30" customFormat="1" ht="12" customHeight="1" x14ac:dyDescent="0.2">
      <c r="A101" s="169"/>
      <c r="B101" s="169" t="s">
        <v>174</v>
      </c>
      <c r="C101" s="40" t="s">
        <v>175</v>
      </c>
      <c r="D101" s="170">
        <v>726633</v>
      </c>
      <c r="E101" s="170">
        <v>683329.34</v>
      </c>
      <c r="F101" s="171">
        <f t="shared" si="15"/>
        <v>94.040504628884179</v>
      </c>
      <c r="G101" s="171">
        <f>D101-J101</f>
        <v>620328</v>
      </c>
      <c r="H101" s="171">
        <f>E101-K101</f>
        <v>582324.35</v>
      </c>
      <c r="I101" s="171">
        <f t="shared" ref="I101:I102" si="21">H101/G101*100</f>
        <v>93.873620084858331</v>
      </c>
      <c r="J101" s="170">
        <v>106305</v>
      </c>
      <c r="K101" s="170">
        <f>101004.99</f>
        <v>101004.99</v>
      </c>
      <c r="L101" s="171">
        <f>K101/J101*100</f>
        <v>95.014336108367431</v>
      </c>
    </row>
    <row r="102" spans="1:12" s="30" customFormat="1" ht="11.25" x14ac:dyDescent="0.2">
      <c r="A102" s="169"/>
      <c r="B102" s="169" t="s">
        <v>176</v>
      </c>
      <c r="C102" s="165" t="s">
        <v>177</v>
      </c>
      <c r="D102" s="170">
        <v>180000</v>
      </c>
      <c r="E102" s="170">
        <v>180000</v>
      </c>
      <c r="F102" s="171">
        <f t="shared" si="15"/>
        <v>100</v>
      </c>
      <c r="G102" s="171">
        <f t="shared" si="19"/>
        <v>180000</v>
      </c>
      <c r="H102" s="171">
        <f t="shared" si="19"/>
        <v>180000</v>
      </c>
      <c r="I102" s="171">
        <f t="shared" si="21"/>
        <v>100</v>
      </c>
      <c r="J102" s="170">
        <v>0</v>
      </c>
      <c r="K102" s="170">
        <v>0</v>
      </c>
      <c r="L102" s="171">
        <v>0</v>
      </c>
    </row>
    <row r="103" spans="1:12" s="30" customFormat="1" ht="11.25" x14ac:dyDescent="0.2">
      <c r="A103" s="219" t="s">
        <v>178</v>
      </c>
      <c r="B103" s="219"/>
      <c r="C103" s="39" t="s">
        <v>179</v>
      </c>
      <c r="D103" s="220">
        <f>SUM(D101:D102)</f>
        <v>906633</v>
      </c>
      <c r="E103" s="220">
        <f>SUM(E101:E102)</f>
        <v>863329.34</v>
      </c>
      <c r="F103" s="172">
        <f t="shared" si="15"/>
        <v>95.223683673548166</v>
      </c>
      <c r="G103" s="172">
        <f>D103-J103</f>
        <v>800328</v>
      </c>
      <c r="H103" s="172">
        <f>E103-K103</f>
        <v>762324.35</v>
      </c>
      <c r="I103" s="172">
        <f>H103/G103*100</f>
        <v>95.251490638838078</v>
      </c>
      <c r="J103" s="220">
        <f>SUM(J101:J102)</f>
        <v>106305</v>
      </c>
      <c r="K103" s="220">
        <f>SUM(K101:K102)</f>
        <v>101004.99</v>
      </c>
      <c r="L103" s="172">
        <f t="shared" ref="L103:L104" si="22">K103/J103*100</f>
        <v>95.014336108367431</v>
      </c>
    </row>
    <row r="104" spans="1:12" s="29" customFormat="1" ht="11.25" x14ac:dyDescent="0.2">
      <c r="A104" s="260"/>
      <c r="B104" s="261"/>
      <c r="C104" s="262" t="s">
        <v>63</v>
      </c>
      <c r="D104" s="255">
        <f>D8+D14+D17+D21+D30+D32+D34+D39+D41+D44+D57+D62+D72+D78+D86+D94+D100+D103+D74+D23</f>
        <v>49937285.300000004</v>
      </c>
      <c r="E104" s="255">
        <f>E8+E14+E17+E21+E30+E32+E34+E39+E41+E44+E57+E62+E72+E78+E86+E94+E100+E103+E74+E23</f>
        <v>42838274.640000001</v>
      </c>
      <c r="F104" s="256">
        <f t="shared" si="15"/>
        <v>85.784147821908135</v>
      </c>
      <c r="G104" s="255">
        <f>G103+G100+G94+G86+G78+G74+G72+G62+G57+G44+G41+G39+G34+G32+G30+G23+G21+G17+G14+G8</f>
        <v>43913449.350000001</v>
      </c>
      <c r="H104" s="255">
        <f>H8+H14+H17+H21+H30+H32+H34+H39+H41+H44+H57+H62+H72+H78+H86+H94+H100+H103+H74+H23</f>
        <v>39163989.100000001</v>
      </c>
      <c r="I104" s="257">
        <f>H104/G104*100</f>
        <v>89.184497414116251</v>
      </c>
      <c r="J104" s="255">
        <f>J8+J14+J17+J30+J32+J39++J57+J72+J62+J78+J86+J94+J100+J103+J34+J23</f>
        <v>6023835.9500000002</v>
      </c>
      <c r="K104" s="255">
        <f>K8+K14+K17+K21+K30+K32+K34+K39+K41+K44+K57+K62+K72+K78+K86+K94+K100+K103+K23</f>
        <v>3674285.54</v>
      </c>
      <c r="L104" s="257">
        <f t="shared" si="22"/>
        <v>60.995776951727912</v>
      </c>
    </row>
    <row r="110" spans="1:12" x14ac:dyDescent="0.25">
      <c r="I110" s="22"/>
    </row>
  </sheetData>
  <mergeCells count="2">
    <mergeCell ref="A2:L2"/>
    <mergeCell ref="G3:I3"/>
  </mergeCells>
  <pageMargins left="0.39370078740157483" right="0.19685039370078741" top="3.937007874015748E-2" bottom="0.15748031496062992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6"/>
  <sheetViews>
    <sheetView zoomScale="120" zoomScaleNormal="120" workbookViewId="0">
      <pane ySplit="6" topLeftCell="A40" activePane="bottomLeft" state="frozen"/>
      <selection pane="bottomLeft" activeCell="E103" sqref="E103"/>
    </sheetView>
  </sheetViews>
  <sheetFormatPr defaultRowHeight="15" x14ac:dyDescent="0.25"/>
  <cols>
    <col min="1" max="1" width="4.85546875" style="15" customWidth="1"/>
    <col min="2" max="2" width="6.5703125" style="15" customWidth="1"/>
    <col min="3" max="3" width="25" style="30" customWidth="1"/>
    <col min="4" max="4" width="10.7109375" style="21" customWidth="1"/>
    <col min="5" max="5" width="12" style="22" customWidth="1"/>
    <col min="6" max="6" width="7.5703125" style="22" customWidth="1"/>
    <col min="7" max="7" width="12.140625" style="22" customWidth="1"/>
    <col min="8" max="8" width="11.140625" style="22" customWidth="1"/>
    <col min="9" max="9" width="11.5703125" style="22" customWidth="1"/>
    <col min="10" max="10" width="10.28515625" style="22" customWidth="1"/>
    <col min="11" max="11" width="10.42578125" style="22" customWidth="1"/>
    <col min="12" max="12" width="8.42578125" style="22" customWidth="1"/>
    <col min="13" max="13" width="7.7109375" style="22" customWidth="1"/>
    <col min="14" max="14" width="9" style="22" customWidth="1"/>
    <col min="16" max="16" width="12.28515625" bestFit="1" customWidth="1"/>
    <col min="243" max="243" width="4" customWidth="1"/>
    <col min="244" max="244" width="6.5703125" customWidth="1"/>
    <col min="245" max="245" width="28.28515625" customWidth="1"/>
    <col min="246" max="246" width="10.140625" customWidth="1"/>
    <col min="247" max="247" width="12" customWidth="1"/>
    <col min="248" max="248" width="6.42578125" customWidth="1"/>
    <col min="249" max="249" width="12.140625" customWidth="1"/>
    <col min="250" max="250" width="11.140625" customWidth="1"/>
    <col min="251" max="251" width="11.5703125" customWidth="1"/>
    <col min="252" max="252" width="9.28515625" customWidth="1"/>
    <col min="253" max="253" width="10.42578125" customWidth="1"/>
    <col min="254" max="254" width="8.42578125" customWidth="1"/>
    <col min="255" max="255" width="7.7109375" customWidth="1"/>
    <col min="256" max="256" width="9" customWidth="1"/>
    <col min="499" max="499" width="4" customWidth="1"/>
    <col min="500" max="500" width="6.5703125" customWidth="1"/>
    <col min="501" max="501" width="28.28515625" customWidth="1"/>
    <col min="502" max="502" width="10.140625" customWidth="1"/>
    <col min="503" max="503" width="12" customWidth="1"/>
    <col min="504" max="504" width="6.42578125" customWidth="1"/>
    <col min="505" max="505" width="12.140625" customWidth="1"/>
    <col min="506" max="506" width="11.140625" customWidth="1"/>
    <col min="507" max="507" width="11.5703125" customWidth="1"/>
    <col min="508" max="508" width="9.28515625" customWidth="1"/>
    <col min="509" max="509" width="10.42578125" customWidth="1"/>
    <col min="510" max="510" width="8.42578125" customWidth="1"/>
    <col min="511" max="511" width="7.7109375" customWidth="1"/>
    <col min="512" max="512" width="9" customWidth="1"/>
    <col min="755" max="755" width="4" customWidth="1"/>
    <col min="756" max="756" width="6.5703125" customWidth="1"/>
    <col min="757" max="757" width="28.28515625" customWidth="1"/>
    <col min="758" max="758" width="10.140625" customWidth="1"/>
    <col min="759" max="759" width="12" customWidth="1"/>
    <col min="760" max="760" width="6.42578125" customWidth="1"/>
    <col min="761" max="761" width="12.140625" customWidth="1"/>
    <col min="762" max="762" width="11.140625" customWidth="1"/>
    <col min="763" max="763" width="11.5703125" customWidth="1"/>
    <col min="764" max="764" width="9.28515625" customWidth="1"/>
    <col min="765" max="765" width="10.42578125" customWidth="1"/>
    <col min="766" max="766" width="8.42578125" customWidth="1"/>
    <col min="767" max="767" width="7.7109375" customWidth="1"/>
    <col min="768" max="768" width="9" customWidth="1"/>
    <col min="1011" max="1011" width="4" customWidth="1"/>
    <col min="1012" max="1012" width="6.5703125" customWidth="1"/>
    <col min="1013" max="1013" width="28.28515625" customWidth="1"/>
    <col min="1014" max="1014" width="10.140625" customWidth="1"/>
    <col min="1015" max="1015" width="12" customWidth="1"/>
    <col min="1016" max="1016" width="6.42578125" customWidth="1"/>
    <col min="1017" max="1017" width="12.140625" customWidth="1"/>
    <col min="1018" max="1018" width="11.140625" customWidth="1"/>
    <col min="1019" max="1019" width="11.5703125" customWidth="1"/>
    <col min="1020" max="1020" width="9.28515625" customWidth="1"/>
    <col min="1021" max="1021" width="10.42578125" customWidth="1"/>
    <col min="1022" max="1022" width="8.42578125" customWidth="1"/>
    <col min="1023" max="1023" width="7.7109375" customWidth="1"/>
    <col min="1024" max="1024" width="9" customWidth="1"/>
    <col min="1267" max="1267" width="4" customWidth="1"/>
    <col min="1268" max="1268" width="6.5703125" customWidth="1"/>
    <col min="1269" max="1269" width="28.28515625" customWidth="1"/>
    <col min="1270" max="1270" width="10.140625" customWidth="1"/>
    <col min="1271" max="1271" width="12" customWidth="1"/>
    <col min="1272" max="1272" width="6.42578125" customWidth="1"/>
    <col min="1273" max="1273" width="12.140625" customWidth="1"/>
    <col min="1274" max="1274" width="11.140625" customWidth="1"/>
    <col min="1275" max="1275" width="11.5703125" customWidth="1"/>
    <col min="1276" max="1276" width="9.28515625" customWidth="1"/>
    <col min="1277" max="1277" width="10.42578125" customWidth="1"/>
    <col min="1278" max="1278" width="8.42578125" customWidth="1"/>
    <col min="1279" max="1279" width="7.7109375" customWidth="1"/>
    <col min="1280" max="1280" width="9" customWidth="1"/>
    <col min="1523" max="1523" width="4" customWidth="1"/>
    <col min="1524" max="1524" width="6.5703125" customWidth="1"/>
    <col min="1525" max="1525" width="28.28515625" customWidth="1"/>
    <col min="1526" max="1526" width="10.140625" customWidth="1"/>
    <col min="1527" max="1527" width="12" customWidth="1"/>
    <col min="1528" max="1528" width="6.42578125" customWidth="1"/>
    <col min="1529" max="1529" width="12.140625" customWidth="1"/>
    <col min="1530" max="1530" width="11.140625" customWidth="1"/>
    <col min="1531" max="1531" width="11.5703125" customWidth="1"/>
    <col min="1532" max="1532" width="9.28515625" customWidth="1"/>
    <col min="1533" max="1533" width="10.42578125" customWidth="1"/>
    <col min="1534" max="1534" width="8.42578125" customWidth="1"/>
    <col min="1535" max="1535" width="7.7109375" customWidth="1"/>
    <col min="1536" max="1536" width="9" customWidth="1"/>
    <col min="1779" max="1779" width="4" customWidth="1"/>
    <col min="1780" max="1780" width="6.5703125" customWidth="1"/>
    <col min="1781" max="1781" width="28.28515625" customWidth="1"/>
    <col min="1782" max="1782" width="10.140625" customWidth="1"/>
    <col min="1783" max="1783" width="12" customWidth="1"/>
    <col min="1784" max="1784" width="6.42578125" customWidth="1"/>
    <col min="1785" max="1785" width="12.140625" customWidth="1"/>
    <col min="1786" max="1786" width="11.140625" customWidth="1"/>
    <col min="1787" max="1787" width="11.5703125" customWidth="1"/>
    <col min="1788" max="1788" width="9.28515625" customWidth="1"/>
    <col min="1789" max="1789" width="10.42578125" customWidth="1"/>
    <col min="1790" max="1790" width="8.42578125" customWidth="1"/>
    <col min="1791" max="1791" width="7.7109375" customWidth="1"/>
    <col min="1792" max="1792" width="9" customWidth="1"/>
    <col min="2035" max="2035" width="4" customWidth="1"/>
    <col min="2036" max="2036" width="6.5703125" customWidth="1"/>
    <col min="2037" max="2037" width="28.28515625" customWidth="1"/>
    <col min="2038" max="2038" width="10.140625" customWidth="1"/>
    <col min="2039" max="2039" width="12" customWidth="1"/>
    <col min="2040" max="2040" width="6.42578125" customWidth="1"/>
    <col min="2041" max="2041" width="12.140625" customWidth="1"/>
    <col min="2042" max="2042" width="11.140625" customWidth="1"/>
    <col min="2043" max="2043" width="11.5703125" customWidth="1"/>
    <col min="2044" max="2044" width="9.28515625" customWidth="1"/>
    <col min="2045" max="2045" width="10.42578125" customWidth="1"/>
    <col min="2046" max="2046" width="8.42578125" customWidth="1"/>
    <col min="2047" max="2047" width="7.7109375" customWidth="1"/>
    <col min="2048" max="2048" width="9" customWidth="1"/>
    <col min="2291" max="2291" width="4" customWidth="1"/>
    <col min="2292" max="2292" width="6.5703125" customWidth="1"/>
    <col min="2293" max="2293" width="28.28515625" customWidth="1"/>
    <col min="2294" max="2294" width="10.140625" customWidth="1"/>
    <col min="2295" max="2295" width="12" customWidth="1"/>
    <col min="2296" max="2296" width="6.42578125" customWidth="1"/>
    <col min="2297" max="2297" width="12.140625" customWidth="1"/>
    <col min="2298" max="2298" width="11.140625" customWidth="1"/>
    <col min="2299" max="2299" width="11.5703125" customWidth="1"/>
    <col min="2300" max="2300" width="9.28515625" customWidth="1"/>
    <col min="2301" max="2301" width="10.42578125" customWidth="1"/>
    <col min="2302" max="2302" width="8.42578125" customWidth="1"/>
    <col min="2303" max="2303" width="7.7109375" customWidth="1"/>
    <col min="2304" max="2304" width="9" customWidth="1"/>
    <col min="2547" max="2547" width="4" customWidth="1"/>
    <col min="2548" max="2548" width="6.5703125" customWidth="1"/>
    <col min="2549" max="2549" width="28.28515625" customWidth="1"/>
    <col min="2550" max="2550" width="10.140625" customWidth="1"/>
    <col min="2551" max="2551" width="12" customWidth="1"/>
    <col min="2552" max="2552" width="6.42578125" customWidth="1"/>
    <col min="2553" max="2553" width="12.140625" customWidth="1"/>
    <col min="2554" max="2554" width="11.140625" customWidth="1"/>
    <col min="2555" max="2555" width="11.5703125" customWidth="1"/>
    <col min="2556" max="2556" width="9.28515625" customWidth="1"/>
    <col min="2557" max="2557" width="10.42578125" customWidth="1"/>
    <col min="2558" max="2558" width="8.42578125" customWidth="1"/>
    <col min="2559" max="2559" width="7.7109375" customWidth="1"/>
    <col min="2560" max="2560" width="9" customWidth="1"/>
    <col min="2803" max="2803" width="4" customWidth="1"/>
    <col min="2804" max="2804" width="6.5703125" customWidth="1"/>
    <col min="2805" max="2805" width="28.28515625" customWidth="1"/>
    <col min="2806" max="2806" width="10.140625" customWidth="1"/>
    <col min="2807" max="2807" width="12" customWidth="1"/>
    <col min="2808" max="2808" width="6.42578125" customWidth="1"/>
    <col min="2809" max="2809" width="12.140625" customWidth="1"/>
    <col min="2810" max="2810" width="11.140625" customWidth="1"/>
    <col min="2811" max="2811" width="11.5703125" customWidth="1"/>
    <col min="2812" max="2812" width="9.28515625" customWidth="1"/>
    <col min="2813" max="2813" width="10.42578125" customWidth="1"/>
    <col min="2814" max="2814" width="8.42578125" customWidth="1"/>
    <col min="2815" max="2815" width="7.7109375" customWidth="1"/>
    <col min="2816" max="2816" width="9" customWidth="1"/>
    <col min="3059" max="3059" width="4" customWidth="1"/>
    <col min="3060" max="3060" width="6.5703125" customWidth="1"/>
    <col min="3061" max="3061" width="28.28515625" customWidth="1"/>
    <col min="3062" max="3062" width="10.140625" customWidth="1"/>
    <col min="3063" max="3063" width="12" customWidth="1"/>
    <col min="3064" max="3064" width="6.42578125" customWidth="1"/>
    <col min="3065" max="3065" width="12.140625" customWidth="1"/>
    <col min="3066" max="3066" width="11.140625" customWidth="1"/>
    <col min="3067" max="3067" width="11.5703125" customWidth="1"/>
    <col min="3068" max="3068" width="9.28515625" customWidth="1"/>
    <col min="3069" max="3069" width="10.42578125" customWidth="1"/>
    <col min="3070" max="3070" width="8.42578125" customWidth="1"/>
    <col min="3071" max="3071" width="7.7109375" customWidth="1"/>
    <col min="3072" max="3072" width="9" customWidth="1"/>
    <col min="3315" max="3315" width="4" customWidth="1"/>
    <col min="3316" max="3316" width="6.5703125" customWidth="1"/>
    <col min="3317" max="3317" width="28.28515625" customWidth="1"/>
    <col min="3318" max="3318" width="10.140625" customWidth="1"/>
    <col min="3319" max="3319" width="12" customWidth="1"/>
    <col min="3320" max="3320" width="6.42578125" customWidth="1"/>
    <col min="3321" max="3321" width="12.140625" customWidth="1"/>
    <col min="3322" max="3322" width="11.140625" customWidth="1"/>
    <col min="3323" max="3323" width="11.5703125" customWidth="1"/>
    <col min="3324" max="3324" width="9.28515625" customWidth="1"/>
    <col min="3325" max="3325" width="10.42578125" customWidth="1"/>
    <col min="3326" max="3326" width="8.42578125" customWidth="1"/>
    <col min="3327" max="3327" width="7.7109375" customWidth="1"/>
    <col min="3328" max="3328" width="9" customWidth="1"/>
    <col min="3571" max="3571" width="4" customWidth="1"/>
    <col min="3572" max="3572" width="6.5703125" customWidth="1"/>
    <col min="3573" max="3573" width="28.28515625" customWidth="1"/>
    <col min="3574" max="3574" width="10.140625" customWidth="1"/>
    <col min="3575" max="3575" width="12" customWidth="1"/>
    <col min="3576" max="3576" width="6.42578125" customWidth="1"/>
    <col min="3577" max="3577" width="12.140625" customWidth="1"/>
    <col min="3578" max="3578" width="11.140625" customWidth="1"/>
    <col min="3579" max="3579" width="11.5703125" customWidth="1"/>
    <col min="3580" max="3580" width="9.28515625" customWidth="1"/>
    <col min="3581" max="3581" width="10.42578125" customWidth="1"/>
    <col min="3582" max="3582" width="8.42578125" customWidth="1"/>
    <col min="3583" max="3583" width="7.7109375" customWidth="1"/>
    <col min="3584" max="3584" width="9" customWidth="1"/>
    <col min="3827" max="3827" width="4" customWidth="1"/>
    <col min="3828" max="3828" width="6.5703125" customWidth="1"/>
    <col min="3829" max="3829" width="28.28515625" customWidth="1"/>
    <col min="3830" max="3830" width="10.140625" customWidth="1"/>
    <col min="3831" max="3831" width="12" customWidth="1"/>
    <col min="3832" max="3832" width="6.42578125" customWidth="1"/>
    <col min="3833" max="3833" width="12.140625" customWidth="1"/>
    <col min="3834" max="3834" width="11.140625" customWidth="1"/>
    <col min="3835" max="3835" width="11.5703125" customWidth="1"/>
    <col min="3836" max="3836" width="9.28515625" customWidth="1"/>
    <col min="3837" max="3837" width="10.42578125" customWidth="1"/>
    <col min="3838" max="3838" width="8.42578125" customWidth="1"/>
    <col min="3839" max="3839" width="7.7109375" customWidth="1"/>
    <col min="3840" max="3840" width="9" customWidth="1"/>
    <col min="4083" max="4083" width="4" customWidth="1"/>
    <col min="4084" max="4084" width="6.5703125" customWidth="1"/>
    <col min="4085" max="4085" width="28.28515625" customWidth="1"/>
    <col min="4086" max="4086" width="10.140625" customWidth="1"/>
    <col min="4087" max="4087" width="12" customWidth="1"/>
    <col min="4088" max="4088" width="6.42578125" customWidth="1"/>
    <col min="4089" max="4089" width="12.140625" customWidth="1"/>
    <col min="4090" max="4090" width="11.140625" customWidth="1"/>
    <col min="4091" max="4091" width="11.5703125" customWidth="1"/>
    <col min="4092" max="4092" width="9.28515625" customWidth="1"/>
    <col min="4093" max="4093" width="10.42578125" customWidth="1"/>
    <col min="4094" max="4094" width="8.42578125" customWidth="1"/>
    <col min="4095" max="4095" width="7.7109375" customWidth="1"/>
    <col min="4096" max="4096" width="9" customWidth="1"/>
    <col min="4339" max="4339" width="4" customWidth="1"/>
    <col min="4340" max="4340" width="6.5703125" customWidth="1"/>
    <col min="4341" max="4341" width="28.28515625" customWidth="1"/>
    <col min="4342" max="4342" width="10.140625" customWidth="1"/>
    <col min="4343" max="4343" width="12" customWidth="1"/>
    <col min="4344" max="4344" width="6.42578125" customWidth="1"/>
    <col min="4345" max="4345" width="12.140625" customWidth="1"/>
    <col min="4346" max="4346" width="11.140625" customWidth="1"/>
    <col min="4347" max="4347" width="11.5703125" customWidth="1"/>
    <col min="4348" max="4348" width="9.28515625" customWidth="1"/>
    <col min="4349" max="4349" width="10.42578125" customWidth="1"/>
    <col min="4350" max="4350" width="8.42578125" customWidth="1"/>
    <col min="4351" max="4351" width="7.7109375" customWidth="1"/>
    <col min="4352" max="4352" width="9" customWidth="1"/>
    <col min="4595" max="4595" width="4" customWidth="1"/>
    <col min="4596" max="4596" width="6.5703125" customWidth="1"/>
    <col min="4597" max="4597" width="28.28515625" customWidth="1"/>
    <col min="4598" max="4598" width="10.140625" customWidth="1"/>
    <col min="4599" max="4599" width="12" customWidth="1"/>
    <col min="4600" max="4600" width="6.42578125" customWidth="1"/>
    <col min="4601" max="4601" width="12.140625" customWidth="1"/>
    <col min="4602" max="4602" width="11.140625" customWidth="1"/>
    <col min="4603" max="4603" width="11.5703125" customWidth="1"/>
    <col min="4604" max="4604" width="9.28515625" customWidth="1"/>
    <col min="4605" max="4605" width="10.42578125" customWidth="1"/>
    <col min="4606" max="4606" width="8.42578125" customWidth="1"/>
    <col min="4607" max="4607" width="7.7109375" customWidth="1"/>
    <col min="4608" max="4608" width="9" customWidth="1"/>
    <col min="4851" max="4851" width="4" customWidth="1"/>
    <col min="4852" max="4852" width="6.5703125" customWidth="1"/>
    <col min="4853" max="4853" width="28.28515625" customWidth="1"/>
    <col min="4854" max="4854" width="10.140625" customWidth="1"/>
    <col min="4855" max="4855" width="12" customWidth="1"/>
    <col min="4856" max="4856" width="6.42578125" customWidth="1"/>
    <col min="4857" max="4857" width="12.140625" customWidth="1"/>
    <col min="4858" max="4858" width="11.140625" customWidth="1"/>
    <col min="4859" max="4859" width="11.5703125" customWidth="1"/>
    <col min="4860" max="4860" width="9.28515625" customWidth="1"/>
    <col min="4861" max="4861" width="10.42578125" customWidth="1"/>
    <col min="4862" max="4862" width="8.42578125" customWidth="1"/>
    <col min="4863" max="4863" width="7.7109375" customWidth="1"/>
    <col min="4864" max="4864" width="9" customWidth="1"/>
    <col min="5107" max="5107" width="4" customWidth="1"/>
    <col min="5108" max="5108" width="6.5703125" customWidth="1"/>
    <col min="5109" max="5109" width="28.28515625" customWidth="1"/>
    <col min="5110" max="5110" width="10.140625" customWidth="1"/>
    <col min="5111" max="5111" width="12" customWidth="1"/>
    <col min="5112" max="5112" width="6.42578125" customWidth="1"/>
    <col min="5113" max="5113" width="12.140625" customWidth="1"/>
    <col min="5114" max="5114" width="11.140625" customWidth="1"/>
    <col min="5115" max="5115" width="11.5703125" customWidth="1"/>
    <col min="5116" max="5116" width="9.28515625" customWidth="1"/>
    <col min="5117" max="5117" width="10.42578125" customWidth="1"/>
    <col min="5118" max="5118" width="8.42578125" customWidth="1"/>
    <col min="5119" max="5119" width="7.7109375" customWidth="1"/>
    <col min="5120" max="5120" width="9" customWidth="1"/>
    <col min="5363" max="5363" width="4" customWidth="1"/>
    <col min="5364" max="5364" width="6.5703125" customWidth="1"/>
    <col min="5365" max="5365" width="28.28515625" customWidth="1"/>
    <col min="5366" max="5366" width="10.140625" customWidth="1"/>
    <col min="5367" max="5367" width="12" customWidth="1"/>
    <col min="5368" max="5368" width="6.42578125" customWidth="1"/>
    <col min="5369" max="5369" width="12.140625" customWidth="1"/>
    <col min="5370" max="5370" width="11.140625" customWidth="1"/>
    <col min="5371" max="5371" width="11.5703125" customWidth="1"/>
    <col min="5372" max="5372" width="9.28515625" customWidth="1"/>
    <col min="5373" max="5373" width="10.42578125" customWidth="1"/>
    <col min="5374" max="5374" width="8.42578125" customWidth="1"/>
    <col min="5375" max="5375" width="7.7109375" customWidth="1"/>
    <col min="5376" max="5376" width="9" customWidth="1"/>
    <col min="5619" max="5619" width="4" customWidth="1"/>
    <col min="5620" max="5620" width="6.5703125" customWidth="1"/>
    <col min="5621" max="5621" width="28.28515625" customWidth="1"/>
    <col min="5622" max="5622" width="10.140625" customWidth="1"/>
    <col min="5623" max="5623" width="12" customWidth="1"/>
    <col min="5624" max="5624" width="6.42578125" customWidth="1"/>
    <col min="5625" max="5625" width="12.140625" customWidth="1"/>
    <col min="5626" max="5626" width="11.140625" customWidth="1"/>
    <col min="5627" max="5627" width="11.5703125" customWidth="1"/>
    <col min="5628" max="5628" width="9.28515625" customWidth="1"/>
    <col min="5629" max="5629" width="10.42578125" customWidth="1"/>
    <col min="5630" max="5630" width="8.42578125" customWidth="1"/>
    <col min="5631" max="5631" width="7.7109375" customWidth="1"/>
    <col min="5632" max="5632" width="9" customWidth="1"/>
    <col min="5875" max="5875" width="4" customWidth="1"/>
    <col min="5876" max="5876" width="6.5703125" customWidth="1"/>
    <col min="5877" max="5877" width="28.28515625" customWidth="1"/>
    <col min="5878" max="5878" width="10.140625" customWidth="1"/>
    <col min="5879" max="5879" width="12" customWidth="1"/>
    <col min="5880" max="5880" width="6.42578125" customWidth="1"/>
    <col min="5881" max="5881" width="12.140625" customWidth="1"/>
    <col min="5882" max="5882" width="11.140625" customWidth="1"/>
    <col min="5883" max="5883" width="11.5703125" customWidth="1"/>
    <col min="5884" max="5884" width="9.28515625" customWidth="1"/>
    <col min="5885" max="5885" width="10.42578125" customWidth="1"/>
    <col min="5886" max="5886" width="8.42578125" customWidth="1"/>
    <col min="5887" max="5887" width="7.7109375" customWidth="1"/>
    <col min="5888" max="5888" width="9" customWidth="1"/>
    <col min="6131" max="6131" width="4" customWidth="1"/>
    <col min="6132" max="6132" width="6.5703125" customWidth="1"/>
    <col min="6133" max="6133" width="28.28515625" customWidth="1"/>
    <col min="6134" max="6134" width="10.140625" customWidth="1"/>
    <col min="6135" max="6135" width="12" customWidth="1"/>
    <col min="6136" max="6136" width="6.42578125" customWidth="1"/>
    <col min="6137" max="6137" width="12.140625" customWidth="1"/>
    <col min="6138" max="6138" width="11.140625" customWidth="1"/>
    <col min="6139" max="6139" width="11.5703125" customWidth="1"/>
    <col min="6140" max="6140" width="9.28515625" customWidth="1"/>
    <col min="6141" max="6141" width="10.42578125" customWidth="1"/>
    <col min="6142" max="6142" width="8.42578125" customWidth="1"/>
    <col min="6143" max="6143" width="7.7109375" customWidth="1"/>
    <col min="6144" max="6144" width="9" customWidth="1"/>
    <col min="6387" max="6387" width="4" customWidth="1"/>
    <col min="6388" max="6388" width="6.5703125" customWidth="1"/>
    <col min="6389" max="6389" width="28.28515625" customWidth="1"/>
    <col min="6390" max="6390" width="10.140625" customWidth="1"/>
    <col min="6391" max="6391" width="12" customWidth="1"/>
    <col min="6392" max="6392" width="6.42578125" customWidth="1"/>
    <col min="6393" max="6393" width="12.140625" customWidth="1"/>
    <col min="6394" max="6394" width="11.140625" customWidth="1"/>
    <col min="6395" max="6395" width="11.5703125" customWidth="1"/>
    <col min="6396" max="6396" width="9.28515625" customWidth="1"/>
    <col min="6397" max="6397" width="10.42578125" customWidth="1"/>
    <col min="6398" max="6398" width="8.42578125" customWidth="1"/>
    <col min="6399" max="6399" width="7.7109375" customWidth="1"/>
    <col min="6400" max="6400" width="9" customWidth="1"/>
    <col min="6643" max="6643" width="4" customWidth="1"/>
    <col min="6644" max="6644" width="6.5703125" customWidth="1"/>
    <col min="6645" max="6645" width="28.28515625" customWidth="1"/>
    <col min="6646" max="6646" width="10.140625" customWidth="1"/>
    <col min="6647" max="6647" width="12" customWidth="1"/>
    <col min="6648" max="6648" width="6.42578125" customWidth="1"/>
    <col min="6649" max="6649" width="12.140625" customWidth="1"/>
    <col min="6650" max="6650" width="11.140625" customWidth="1"/>
    <col min="6651" max="6651" width="11.5703125" customWidth="1"/>
    <col min="6652" max="6652" width="9.28515625" customWidth="1"/>
    <col min="6653" max="6653" width="10.42578125" customWidth="1"/>
    <col min="6654" max="6654" width="8.42578125" customWidth="1"/>
    <col min="6655" max="6655" width="7.7109375" customWidth="1"/>
    <col min="6656" max="6656" width="9" customWidth="1"/>
    <col min="6899" max="6899" width="4" customWidth="1"/>
    <col min="6900" max="6900" width="6.5703125" customWidth="1"/>
    <col min="6901" max="6901" width="28.28515625" customWidth="1"/>
    <col min="6902" max="6902" width="10.140625" customWidth="1"/>
    <col min="6903" max="6903" width="12" customWidth="1"/>
    <col min="6904" max="6904" width="6.42578125" customWidth="1"/>
    <col min="6905" max="6905" width="12.140625" customWidth="1"/>
    <col min="6906" max="6906" width="11.140625" customWidth="1"/>
    <col min="6907" max="6907" width="11.5703125" customWidth="1"/>
    <col min="6908" max="6908" width="9.28515625" customWidth="1"/>
    <col min="6909" max="6909" width="10.42578125" customWidth="1"/>
    <col min="6910" max="6910" width="8.42578125" customWidth="1"/>
    <col min="6911" max="6911" width="7.7109375" customWidth="1"/>
    <col min="6912" max="6912" width="9" customWidth="1"/>
    <col min="7155" max="7155" width="4" customWidth="1"/>
    <col min="7156" max="7156" width="6.5703125" customWidth="1"/>
    <col min="7157" max="7157" width="28.28515625" customWidth="1"/>
    <col min="7158" max="7158" width="10.140625" customWidth="1"/>
    <col min="7159" max="7159" width="12" customWidth="1"/>
    <col min="7160" max="7160" width="6.42578125" customWidth="1"/>
    <col min="7161" max="7161" width="12.140625" customWidth="1"/>
    <col min="7162" max="7162" width="11.140625" customWidth="1"/>
    <col min="7163" max="7163" width="11.5703125" customWidth="1"/>
    <col min="7164" max="7164" width="9.28515625" customWidth="1"/>
    <col min="7165" max="7165" width="10.42578125" customWidth="1"/>
    <col min="7166" max="7166" width="8.42578125" customWidth="1"/>
    <col min="7167" max="7167" width="7.7109375" customWidth="1"/>
    <col min="7168" max="7168" width="9" customWidth="1"/>
    <col min="7411" max="7411" width="4" customWidth="1"/>
    <col min="7412" max="7412" width="6.5703125" customWidth="1"/>
    <col min="7413" max="7413" width="28.28515625" customWidth="1"/>
    <col min="7414" max="7414" width="10.140625" customWidth="1"/>
    <col min="7415" max="7415" width="12" customWidth="1"/>
    <col min="7416" max="7416" width="6.42578125" customWidth="1"/>
    <col min="7417" max="7417" width="12.140625" customWidth="1"/>
    <col min="7418" max="7418" width="11.140625" customWidth="1"/>
    <col min="7419" max="7419" width="11.5703125" customWidth="1"/>
    <col min="7420" max="7420" width="9.28515625" customWidth="1"/>
    <col min="7421" max="7421" width="10.42578125" customWidth="1"/>
    <col min="7422" max="7422" width="8.42578125" customWidth="1"/>
    <col min="7423" max="7423" width="7.7109375" customWidth="1"/>
    <col min="7424" max="7424" width="9" customWidth="1"/>
    <col min="7667" max="7667" width="4" customWidth="1"/>
    <col min="7668" max="7668" width="6.5703125" customWidth="1"/>
    <col min="7669" max="7669" width="28.28515625" customWidth="1"/>
    <col min="7670" max="7670" width="10.140625" customWidth="1"/>
    <col min="7671" max="7671" width="12" customWidth="1"/>
    <col min="7672" max="7672" width="6.42578125" customWidth="1"/>
    <col min="7673" max="7673" width="12.140625" customWidth="1"/>
    <col min="7674" max="7674" width="11.140625" customWidth="1"/>
    <col min="7675" max="7675" width="11.5703125" customWidth="1"/>
    <col min="7676" max="7676" width="9.28515625" customWidth="1"/>
    <col min="7677" max="7677" width="10.42578125" customWidth="1"/>
    <col min="7678" max="7678" width="8.42578125" customWidth="1"/>
    <col min="7679" max="7679" width="7.7109375" customWidth="1"/>
    <col min="7680" max="7680" width="9" customWidth="1"/>
    <col min="7923" max="7923" width="4" customWidth="1"/>
    <col min="7924" max="7924" width="6.5703125" customWidth="1"/>
    <col min="7925" max="7925" width="28.28515625" customWidth="1"/>
    <col min="7926" max="7926" width="10.140625" customWidth="1"/>
    <col min="7927" max="7927" width="12" customWidth="1"/>
    <col min="7928" max="7928" width="6.42578125" customWidth="1"/>
    <col min="7929" max="7929" width="12.140625" customWidth="1"/>
    <col min="7930" max="7930" width="11.140625" customWidth="1"/>
    <col min="7931" max="7931" width="11.5703125" customWidth="1"/>
    <col min="7932" max="7932" width="9.28515625" customWidth="1"/>
    <col min="7933" max="7933" width="10.42578125" customWidth="1"/>
    <col min="7934" max="7934" width="8.42578125" customWidth="1"/>
    <col min="7935" max="7935" width="7.7109375" customWidth="1"/>
    <col min="7936" max="7936" width="9" customWidth="1"/>
    <col min="8179" max="8179" width="4" customWidth="1"/>
    <col min="8180" max="8180" width="6.5703125" customWidth="1"/>
    <col min="8181" max="8181" width="28.28515625" customWidth="1"/>
    <col min="8182" max="8182" width="10.140625" customWidth="1"/>
    <col min="8183" max="8183" width="12" customWidth="1"/>
    <col min="8184" max="8184" width="6.42578125" customWidth="1"/>
    <col min="8185" max="8185" width="12.140625" customWidth="1"/>
    <col min="8186" max="8186" width="11.140625" customWidth="1"/>
    <col min="8187" max="8187" width="11.5703125" customWidth="1"/>
    <col min="8188" max="8188" width="9.28515625" customWidth="1"/>
    <col min="8189" max="8189" width="10.42578125" customWidth="1"/>
    <col min="8190" max="8190" width="8.42578125" customWidth="1"/>
    <col min="8191" max="8191" width="7.7109375" customWidth="1"/>
    <col min="8192" max="8192" width="9" customWidth="1"/>
    <col min="8435" max="8435" width="4" customWidth="1"/>
    <col min="8436" max="8436" width="6.5703125" customWidth="1"/>
    <col min="8437" max="8437" width="28.28515625" customWidth="1"/>
    <col min="8438" max="8438" width="10.140625" customWidth="1"/>
    <col min="8439" max="8439" width="12" customWidth="1"/>
    <col min="8440" max="8440" width="6.42578125" customWidth="1"/>
    <col min="8441" max="8441" width="12.140625" customWidth="1"/>
    <col min="8442" max="8442" width="11.140625" customWidth="1"/>
    <col min="8443" max="8443" width="11.5703125" customWidth="1"/>
    <col min="8444" max="8444" width="9.28515625" customWidth="1"/>
    <col min="8445" max="8445" width="10.42578125" customWidth="1"/>
    <col min="8446" max="8446" width="8.42578125" customWidth="1"/>
    <col min="8447" max="8447" width="7.7109375" customWidth="1"/>
    <col min="8448" max="8448" width="9" customWidth="1"/>
    <col min="8691" max="8691" width="4" customWidth="1"/>
    <col min="8692" max="8692" width="6.5703125" customWidth="1"/>
    <col min="8693" max="8693" width="28.28515625" customWidth="1"/>
    <col min="8694" max="8694" width="10.140625" customWidth="1"/>
    <col min="8695" max="8695" width="12" customWidth="1"/>
    <col min="8696" max="8696" width="6.42578125" customWidth="1"/>
    <col min="8697" max="8697" width="12.140625" customWidth="1"/>
    <col min="8698" max="8698" width="11.140625" customWidth="1"/>
    <col min="8699" max="8699" width="11.5703125" customWidth="1"/>
    <col min="8700" max="8700" width="9.28515625" customWidth="1"/>
    <col min="8701" max="8701" width="10.42578125" customWidth="1"/>
    <col min="8702" max="8702" width="8.42578125" customWidth="1"/>
    <col min="8703" max="8703" width="7.7109375" customWidth="1"/>
    <col min="8704" max="8704" width="9" customWidth="1"/>
    <col min="8947" max="8947" width="4" customWidth="1"/>
    <col min="8948" max="8948" width="6.5703125" customWidth="1"/>
    <col min="8949" max="8949" width="28.28515625" customWidth="1"/>
    <col min="8950" max="8950" width="10.140625" customWidth="1"/>
    <col min="8951" max="8951" width="12" customWidth="1"/>
    <col min="8952" max="8952" width="6.42578125" customWidth="1"/>
    <col min="8953" max="8953" width="12.140625" customWidth="1"/>
    <col min="8954" max="8954" width="11.140625" customWidth="1"/>
    <col min="8955" max="8955" width="11.5703125" customWidth="1"/>
    <col min="8956" max="8956" width="9.28515625" customWidth="1"/>
    <col min="8957" max="8957" width="10.42578125" customWidth="1"/>
    <col min="8958" max="8958" width="8.42578125" customWidth="1"/>
    <col min="8959" max="8959" width="7.7109375" customWidth="1"/>
    <col min="8960" max="8960" width="9" customWidth="1"/>
    <col min="9203" max="9203" width="4" customWidth="1"/>
    <col min="9204" max="9204" width="6.5703125" customWidth="1"/>
    <col min="9205" max="9205" width="28.28515625" customWidth="1"/>
    <col min="9206" max="9206" width="10.140625" customWidth="1"/>
    <col min="9207" max="9207" width="12" customWidth="1"/>
    <col min="9208" max="9208" width="6.42578125" customWidth="1"/>
    <col min="9209" max="9209" width="12.140625" customWidth="1"/>
    <col min="9210" max="9210" width="11.140625" customWidth="1"/>
    <col min="9211" max="9211" width="11.5703125" customWidth="1"/>
    <col min="9212" max="9212" width="9.28515625" customWidth="1"/>
    <col min="9213" max="9213" width="10.42578125" customWidth="1"/>
    <col min="9214" max="9214" width="8.42578125" customWidth="1"/>
    <col min="9215" max="9215" width="7.7109375" customWidth="1"/>
    <col min="9216" max="9216" width="9" customWidth="1"/>
    <col min="9459" max="9459" width="4" customWidth="1"/>
    <col min="9460" max="9460" width="6.5703125" customWidth="1"/>
    <col min="9461" max="9461" width="28.28515625" customWidth="1"/>
    <col min="9462" max="9462" width="10.140625" customWidth="1"/>
    <col min="9463" max="9463" width="12" customWidth="1"/>
    <col min="9464" max="9464" width="6.42578125" customWidth="1"/>
    <col min="9465" max="9465" width="12.140625" customWidth="1"/>
    <col min="9466" max="9466" width="11.140625" customWidth="1"/>
    <col min="9467" max="9467" width="11.5703125" customWidth="1"/>
    <col min="9468" max="9468" width="9.28515625" customWidth="1"/>
    <col min="9469" max="9469" width="10.42578125" customWidth="1"/>
    <col min="9470" max="9470" width="8.42578125" customWidth="1"/>
    <col min="9471" max="9471" width="7.7109375" customWidth="1"/>
    <col min="9472" max="9472" width="9" customWidth="1"/>
    <col min="9715" max="9715" width="4" customWidth="1"/>
    <col min="9716" max="9716" width="6.5703125" customWidth="1"/>
    <col min="9717" max="9717" width="28.28515625" customWidth="1"/>
    <col min="9718" max="9718" width="10.140625" customWidth="1"/>
    <col min="9719" max="9719" width="12" customWidth="1"/>
    <col min="9720" max="9720" width="6.42578125" customWidth="1"/>
    <col min="9721" max="9721" width="12.140625" customWidth="1"/>
    <col min="9722" max="9722" width="11.140625" customWidth="1"/>
    <col min="9723" max="9723" width="11.5703125" customWidth="1"/>
    <col min="9724" max="9724" width="9.28515625" customWidth="1"/>
    <col min="9725" max="9725" width="10.42578125" customWidth="1"/>
    <col min="9726" max="9726" width="8.42578125" customWidth="1"/>
    <col min="9727" max="9727" width="7.7109375" customWidth="1"/>
    <col min="9728" max="9728" width="9" customWidth="1"/>
    <col min="9971" max="9971" width="4" customWidth="1"/>
    <col min="9972" max="9972" width="6.5703125" customWidth="1"/>
    <col min="9973" max="9973" width="28.28515625" customWidth="1"/>
    <col min="9974" max="9974" width="10.140625" customWidth="1"/>
    <col min="9975" max="9975" width="12" customWidth="1"/>
    <col min="9976" max="9976" width="6.42578125" customWidth="1"/>
    <col min="9977" max="9977" width="12.140625" customWidth="1"/>
    <col min="9978" max="9978" width="11.140625" customWidth="1"/>
    <col min="9979" max="9979" width="11.5703125" customWidth="1"/>
    <col min="9980" max="9980" width="9.28515625" customWidth="1"/>
    <col min="9981" max="9981" width="10.42578125" customWidth="1"/>
    <col min="9982" max="9982" width="8.42578125" customWidth="1"/>
    <col min="9983" max="9983" width="7.7109375" customWidth="1"/>
    <col min="9984" max="9984" width="9" customWidth="1"/>
    <col min="10227" max="10227" width="4" customWidth="1"/>
    <col min="10228" max="10228" width="6.5703125" customWidth="1"/>
    <col min="10229" max="10229" width="28.28515625" customWidth="1"/>
    <col min="10230" max="10230" width="10.140625" customWidth="1"/>
    <col min="10231" max="10231" width="12" customWidth="1"/>
    <col min="10232" max="10232" width="6.42578125" customWidth="1"/>
    <col min="10233" max="10233" width="12.140625" customWidth="1"/>
    <col min="10234" max="10234" width="11.140625" customWidth="1"/>
    <col min="10235" max="10235" width="11.5703125" customWidth="1"/>
    <col min="10236" max="10236" width="9.28515625" customWidth="1"/>
    <col min="10237" max="10237" width="10.42578125" customWidth="1"/>
    <col min="10238" max="10238" width="8.42578125" customWidth="1"/>
    <col min="10239" max="10239" width="7.7109375" customWidth="1"/>
    <col min="10240" max="10240" width="9" customWidth="1"/>
    <col min="10483" max="10483" width="4" customWidth="1"/>
    <col min="10484" max="10484" width="6.5703125" customWidth="1"/>
    <col min="10485" max="10485" width="28.28515625" customWidth="1"/>
    <col min="10486" max="10486" width="10.140625" customWidth="1"/>
    <col min="10487" max="10487" width="12" customWidth="1"/>
    <col min="10488" max="10488" width="6.42578125" customWidth="1"/>
    <col min="10489" max="10489" width="12.140625" customWidth="1"/>
    <col min="10490" max="10490" width="11.140625" customWidth="1"/>
    <col min="10491" max="10491" width="11.5703125" customWidth="1"/>
    <col min="10492" max="10492" width="9.28515625" customWidth="1"/>
    <col min="10493" max="10493" width="10.42578125" customWidth="1"/>
    <col min="10494" max="10494" width="8.42578125" customWidth="1"/>
    <col min="10495" max="10495" width="7.7109375" customWidth="1"/>
    <col min="10496" max="10496" width="9" customWidth="1"/>
    <col min="10739" max="10739" width="4" customWidth="1"/>
    <col min="10740" max="10740" width="6.5703125" customWidth="1"/>
    <col min="10741" max="10741" width="28.28515625" customWidth="1"/>
    <col min="10742" max="10742" width="10.140625" customWidth="1"/>
    <col min="10743" max="10743" width="12" customWidth="1"/>
    <col min="10744" max="10744" width="6.42578125" customWidth="1"/>
    <col min="10745" max="10745" width="12.140625" customWidth="1"/>
    <col min="10746" max="10746" width="11.140625" customWidth="1"/>
    <col min="10747" max="10747" width="11.5703125" customWidth="1"/>
    <col min="10748" max="10748" width="9.28515625" customWidth="1"/>
    <col min="10749" max="10749" width="10.42578125" customWidth="1"/>
    <col min="10750" max="10750" width="8.42578125" customWidth="1"/>
    <col min="10751" max="10751" width="7.7109375" customWidth="1"/>
    <col min="10752" max="10752" width="9" customWidth="1"/>
    <col min="10995" max="10995" width="4" customWidth="1"/>
    <col min="10996" max="10996" width="6.5703125" customWidth="1"/>
    <col min="10997" max="10997" width="28.28515625" customWidth="1"/>
    <col min="10998" max="10998" width="10.140625" customWidth="1"/>
    <col min="10999" max="10999" width="12" customWidth="1"/>
    <col min="11000" max="11000" width="6.42578125" customWidth="1"/>
    <col min="11001" max="11001" width="12.140625" customWidth="1"/>
    <col min="11002" max="11002" width="11.140625" customWidth="1"/>
    <col min="11003" max="11003" width="11.5703125" customWidth="1"/>
    <col min="11004" max="11004" width="9.28515625" customWidth="1"/>
    <col min="11005" max="11005" width="10.42578125" customWidth="1"/>
    <col min="11006" max="11006" width="8.42578125" customWidth="1"/>
    <col min="11007" max="11007" width="7.7109375" customWidth="1"/>
    <col min="11008" max="11008" width="9" customWidth="1"/>
    <col min="11251" max="11251" width="4" customWidth="1"/>
    <col min="11252" max="11252" width="6.5703125" customWidth="1"/>
    <col min="11253" max="11253" width="28.28515625" customWidth="1"/>
    <col min="11254" max="11254" width="10.140625" customWidth="1"/>
    <col min="11255" max="11255" width="12" customWidth="1"/>
    <col min="11256" max="11256" width="6.42578125" customWidth="1"/>
    <col min="11257" max="11257" width="12.140625" customWidth="1"/>
    <col min="11258" max="11258" width="11.140625" customWidth="1"/>
    <col min="11259" max="11259" width="11.5703125" customWidth="1"/>
    <col min="11260" max="11260" width="9.28515625" customWidth="1"/>
    <col min="11261" max="11261" width="10.42578125" customWidth="1"/>
    <col min="11262" max="11262" width="8.42578125" customWidth="1"/>
    <col min="11263" max="11263" width="7.7109375" customWidth="1"/>
    <col min="11264" max="11264" width="9" customWidth="1"/>
    <col min="11507" max="11507" width="4" customWidth="1"/>
    <col min="11508" max="11508" width="6.5703125" customWidth="1"/>
    <col min="11509" max="11509" width="28.28515625" customWidth="1"/>
    <col min="11510" max="11510" width="10.140625" customWidth="1"/>
    <col min="11511" max="11511" width="12" customWidth="1"/>
    <col min="11512" max="11512" width="6.42578125" customWidth="1"/>
    <col min="11513" max="11513" width="12.140625" customWidth="1"/>
    <col min="11514" max="11514" width="11.140625" customWidth="1"/>
    <col min="11515" max="11515" width="11.5703125" customWidth="1"/>
    <col min="11516" max="11516" width="9.28515625" customWidth="1"/>
    <col min="11517" max="11517" width="10.42578125" customWidth="1"/>
    <col min="11518" max="11518" width="8.42578125" customWidth="1"/>
    <col min="11519" max="11519" width="7.7109375" customWidth="1"/>
    <col min="11520" max="11520" width="9" customWidth="1"/>
    <col min="11763" max="11763" width="4" customWidth="1"/>
    <col min="11764" max="11764" width="6.5703125" customWidth="1"/>
    <col min="11765" max="11765" width="28.28515625" customWidth="1"/>
    <col min="11766" max="11766" width="10.140625" customWidth="1"/>
    <col min="11767" max="11767" width="12" customWidth="1"/>
    <col min="11768" max="11768" width="6.42578125" customWidth="1"/>
    <col min="11769" max="11769" width="12.140625" customWidth="1"/>
    <col min="11770" max="11770" width="11.140625" customWidth="1"/>
    <col min="11771" max="11771" width="11.5703125" customWidth="1"/>
    <col min="11772" max="11772" width="9.28515625" customWidth="1"/>
    <col min="11773" max="11773" width="10.42578125" customWidth="1"/>
    <col min="11774" max="11774" width="8.42578125" customWidth="1"/>
    <col min="11775" max="11775" width="7.7109375" customWidth="1"/>
    <col min="11776" max="11776" width="9" customWidth="1"/>
    <col min="12019" max="12019" width="4" customWidth="1"/>
    <col min="12020" max="12020" width="6.5703125" customWidth="1"/>
    <col min="12021" max="12021" width="28.28515625" customWidth="1"/>
    <col min="12022" max="12022" width="10.140625" customWidth="1"/>
    <col min="12023" max="12023" width="12" customWidth="1"/>
    <col min="12024" max="12024" width="6.42578125" customWidth="1"/>
    <col min="12025" max="12025" width="12.140625" customWidth="1"/>
    <col min="12026" max="12026" width="11.140625" customWidth="1"/>
    <col min="12027" max="12027" width="11.5703125" customWidth="1"/>
    <col min="12028" max="12028" width="9.28515625" customWidth="1"/>
    <col min="12029" max="12029" width="10.42578125" customWidth="1"/>
    <col min="12030" max="12030" width="8.42578125" customWidth="1"/>
    <col min="12031" max="12031" width="7.7109375" customWidth="1"/>
    <col min="12032" max="12032" width="9" customWidth="1"/>
    <col min="12275" max="12275" width="4" customWidth="1"/>
    <col min="12276" max="12276" width="6.5703125" customWidth="1"/>
    <col min="12277" max="12277" width="28.28515625" customWidth="1"/>
    <col min="12278" max="12278" width="10.140625" customWidth="1"/>
    <col min="12279" max="12279" width="12" customWidth="1"/>
    <col min="12280" max="12280" width="6.42578125" customWidth="1"/>
    <col min="12281" max="12281" width="12.140625" customWidth="1"/>
    <col min="12282" max="12282" width="11.140625" customWidth="1"/>
    <col min="12283" max="12283" width="11.5703125" customWidth="1"/>
    <col min="12284" max="12284" width="9.28515625" customWidth="1"/>
    <col min="12285" max="12285" width="10.42578125" customWidth="1"/>
    <col min="12286" max="12286" width="8.42578125" customWidth="1"/>
    <col min="12287" max="12287" width="7.7109375" customWidth="1"/>
    <col min="12288" max="12288" width="9" customWidth="1"/>
    <col min="12531" max="12531" width="4" customWidth="1"/>
    <col min="12532" max="12532" width="6.5703125" customWidth="1"/>
    <col min="12533" max="12533" width="28.28515625" customWidth="1"/>
    <col min="12534" max="12534" width="10.140625" customWidth="1"/>
    <col min="12535" max="12535" width="12" customWidth="1"/>
    <col min="12536" max="12536" width="6.42578125" customWidth="1"/>
    <col min="12537" max="12537" width="12.140625" customWidth="1"/>
    <col min="12538" max="12538" width="11.140625" customWidth="1"/>
    <col min="12539" max="12539" width="11.5703125" customWidth="1"/>
    <col min="12540" max="12540" width="9.28515625" customWidth="1"/>
    <col min="12541" max="12541" width="10.42578125" customWidth="1"/>
    <col min="12542" max="12542" width="8.42578125" customWidth="1"/>
    <col min="12543" max="12543" width="7.7109375" customWidth="1"/>
    <col min="12544" max="12544" width="9" customWidth="1"/>
    <col min="12787" max="12787" width="4" customWidth="1"/>
    <col min="12788" max="12788" width="6.5703125" customWidth="1"/>
    <col min="12789" max="12789" width="28.28515625" customWidth="1"/>
    <col min="12790" max="12790" width="10.140625" customWidth="1"/>
    <col min="12791" max="12791" width="12" customWidth="1"/>
    <col min="12792" max="12792" width="6.42578125" customWidth="1"/>
    <col min="12793" max="12793" width="12.140625" customWidth="1"/>
    <col min="12794" max="12794" width="11.140625" customWidth="1"/>
    <col min="12795" max="12795" width="11.5703125" customWidth="1"/>
    <col min="12796" max="12796" width="9.28515625" customWidth="1"/>
    <col min="12797" max="12797" width="10.42578125" customWidth="1"/>
    <col min="12798" max="12798" width="8.42578125" customWidth="1"/>
    <col min="12799" max="12799" width="7.7109375" customWidth="1"/>
    <col min="12800" max="12800" width="9" customWidth="1"/>
    <col min="13043" max="13043" width="4" customWidth="1"/>
    <col min="13044" max="13044" width="6.5703125" customWidth="1"/>
    <col min="13045" max="13045" width="28.28515625" customWidth="1"/>
    <col min="13046" max="13046" width="10.140625" customWidth="1"/>
    <col min="13047" max="13047" width="12" customWidth="1"/>
    <col min="13048" max="13048" width="6.42578125" customWidth="1"/>
    <col min="13049" max="13049" width="12.140625" customWidth="1"/>
    <col min="13050" max="13050" width="11.140625" customWidth="1"/>
    <col min="13051" max="13051" width="11.5703125" customWidth="1"/>
    <col min="13052" max="13052" width="9.28515625" customWidth="1"/>
    <col min="13053" max="13053" width="10.42578125" customWidth="1"/>
    <col min="13054" max="13054" width="8.42578125" customWidth="1"/>
    <col min="13055" max="13055" width="7.7109375" customWidth="1"/>
    <col min="13056" max="13056" width="9" customWidth="1"/>
    <col min="13299" max="13299" width="4" customWidth="1"/>
    <col min="13300" max="13300" width="6.5703125" customWidth="1"/>
    <col min="13301" max="13301" width="28.28515625" customWidth="1"/>
    <col min="13302" max="13302" width="10.140625" customWidth="1"/>
    <col min="13303" max="13303" width="12" customWidth="1"/>
    <col min="13304" max="13304" width="6.42578125" customWidth="1"/>
    <col min="13305" max="13305" width="12.140625" customWidth="1"/>
    <col min="13306" max="13306" width="11.140625" customWidth="1"/>
    <col min="13307" max="13307" width="11.5703125" customWidth="1"/>
    <col min="13308" max="13308" width="9.28515625" customWidth="1"/>
    <col min="13309" max="13309" width="10.42578125" customWidth="1"/>
    <col min="13310" max="13310" width="8.42578125" customWidth="1"/>
    <col min="13311" max="13311" width="7.7109375" customWidth="1"/>
    <col min="13312" max="13312" width="9" customWidth="1"/>
    <col min="13555" max="13555" width="4" customWidth="1"/>
    <col min="13556" max="13556" width="6.5703125" customWidth="1"/>
    <col min="13557" max="13557" width="28.28515625" customWidth="1"/>
    <col min="13558" max="13558" width="10.140625" customWidth="1"/>
    <col min="13559" max="13559" width="12" customWidth="1"/>
    <col min="13560" max="13560" width="6.42578125" customWidth="1"/>
    <col min="13561" max="13561" width="12.140625" customWidth="1"/>
    <col min="13562" max="13562" width="11.140625" customWidth="1"/>
    <col min="13563" max="13563" width="11.5703125" customWidth="1"/>
    <col min="13564" max="13564" width="9.28515625" customWidth="1"/>
    <col min="13565" max="13565" width="10.42578125" customWidth="1"/>
    <col min="13566" max="13566" width="8.42578125" customWidth="1"/>
    <col min="13567" max="13567" width="7.7109375" customWidth="1"/>
    <col min="13568" max="13568" width="9" customWidth="1"/>
    <col min="13811" max="13811" width="4" customWidth="1"/>
    <col min="13812" max="13812" width="6.5703125" customWidth="1"/>
    <col min="13813" max="13813" width="28.28515625" customWidth="1"/>
    <col min="13814" max="13814" width="10.140625" customWidth="1"/>
    <col min="13815" max="13815" width="12" customWidth="1"/>
    <col min="13816" max="13816" width="6.42578125" customWidth="1"/>
    <col min="13817" max="13817" width="12.140625" customWidth="1"/>
    <col min="13818" max="13818" width="11.140625" customWidth="1"/>
    <col min="13819" max="13819" width="11.5703125" customWidth="1"/>
    <col min="13820" max="13820" width="9.28515625" customWidth="1"/>
    <col min="13821" max="13821" width="10.42578125" customWidth="1"/>
    <col min="13822" max="13822" width="8.42578125" customWidth="1"/>
    <col min="13823" max="13823" width="7.7109375" customWidth="1"/>
    <col min="13824" max="13824" width="9" customWidth="1"/>
    <col min="14067" max="14067" width="4" customWidth="1"/>
    <col min="14068" max="14068" width="6.5703125" customWidth="1"/>
    <col min="14069" max="14069" width="28.28515625" customWidth="1"/>
    <col min="14070" max="14070" width="10.140625" customWidth="1"/>
    <col min="14071" max="14071" width="12" customWidth="1"/>
    <col min="14072" max="14072" width="6.42578125" customWidth="1"/>
    <col min="14073" max="14073" width="12.140625" customWidth="1"/>
    <col min="14074" max="14074" width="11.140625" customWidth="1"/>
    <col min="14075" max="14075" width="11.5703125" customWidth="1"/>
    <col min="14076" max="14076" width="9.28515625" customWidth="1"/>
    <col min="14077" max="14077" width="10.42578125" customWidth="1"/>
    <col min="14078" max="14078" width="8.42578125" customWidth="1"/>
    <col min="14079" max="14079" width="7.7109375" customWidth="1"/>
    <col min="14080" max="14080" width="9" customWidth="1"/>
    <col min="14323" max="14323" width="4" customWidth="1"/>
    <col min="14324" max="14324" width="6.5703125" customWidth="1"/>
    <col min="14325" max="14325" width="28.28515625" customWidth="1"/>
    <col min="14326" max="14326" width="10.140625" customWidth="1"/>
    <col min="14327" max="14327" width="12" customWidth="1"/>
    <col min="14328" max="14328" width="6.42578125" customWidth="1"/>
    <col min="14329" max="14329" width="12.140625" customWidth="1"/>
    <col min="14330" max="14330" width="11.140625" customWidth="1"/>
    <col min="14331" max="14331" width="11.5703125" customWidth="1"/>
    <col min="14332" max="14332" width="9.28515625" customWidth="1"/>
    <col min="14333" max="14333" width="10.42578125" customWidth="1"/>
    <col min="14334" max="14334" width="8.42578125" customWidth="1"/>
    <col min="14335" max="14335" width="7.7109375" customWidth="1"/>
    <col min="14336" max="14336" width="9" customWidth="1"/>
    <col min="14579" max="14579" width="4" customWidth="1"/>
    <col min="14580" max="14580" width="6.5703125" customWidth="1"/>
    <col min="14581" max="14581" width="28.28515625" customWidth="1"/>
    <col min="14582" max="14582" width="10.140625" customWidth="1"/>
    <col min="14583" max="14583" width="12" customWidth="1"/>
    <col min="14584" max="14584" width="6.42578125" customWidth="1"/>
    <col min="14585" max="14585" width="12.140625" customWidth="1"/>
    <col min="14586" max="14586" width="11.140625" customWidth="1"/>
    <col min="14587" max="14587" width="11.5703125" customWidth="1"/>
    <col min="14588" max="14588" width="9.28515625" customWidth="1"/>
    <col min="14589" max="14589" width="10.42578125" customWidth="1"/>
    <col min="14590" max="14590" width="8.42578125" customWidth="1"/>
    <col min="14591" max="14591" width="7.7109375" customWidth="1"/>
    <col min="14592" max="14592" width="9" customWidth="1"/>
    <col min="14835" max="14835" width="4" customWidth="1"/>
    <col min="14836" max="14836" width="6.5703125" customWidth="1"/>
    <col min="14837" max="14837" width="28.28515625" customWidth="1"/>
    <col min="14838" max="14838" width="10.140625" customWidth="1"/>
    <col min="14839" max="14839" width="12" customWidth="1"/>
    <col min="14840" max="14840" width="6.42578125" customWidth="1"/>
    <col min="14841" max="14841" width="12.140625" customWidth="1"/>
    <col min="14842" max="14842" width="11.140625" customWidth="1"/>
    <col min="14843" max="14843" width="11.5703125" customWidth="1"/>
    <col min="14844" max="14844" width="9.28515625" customWidth="1"/>
    <col min="14845" max="14845" width="10.42578125" customWidth="1"/>
    <col min="14846" max="14846" width="8.42578125" customWidth="1"/>
    <col min="14847" max="14847" width="7.7109375" customWidth="1"/>
    <col min="14848" max="14848" width="9" customWidth="1"/>
    <col min="15091" max="15091" width="4" customWidth="1"/>
    <col min="15092" max="15092" width="6.5703125" customWidth="1"/>
    <col min="15093" max="15093" width="28.28515625" customWidth="1"/>
    <col min="15094" max="15094" width="10.140625" customWidth="1"/>
    <col min="15095" max="15095" width="12" customWidth="1"/>
    <col min="15096" max="15096" width="6.42578125" customWidth="1"/>
    <col min="15097" max="15097" width="12.140625" customWidth="1"/>
    <col min="15098" max="15098" width="11.140625" customWidth="1"/>
    <col min="15099" max="15099" width="11.5703125" customWidth="1"/>
    <col min="15100" max="15100" width="9.28515625" customWidth="1"/>
    <col min="15101" max="15101" width="10.42578125" customWidth="1"/>
    <col min="15102" max="15102" width="8.42578125" customWidth="1"/>
    <col min="15103" max="15103" width="7.7109375" customWidth="1"/>
    <col min="15104" max="15104" width="9" customWidth="1"/>
    <col min="15347" max="15347" width="4" customWidth="1"/>
    <col min="15348" max="15348" width="6.5703125" customWidth="1"/>
    <col min="15349" max="15349" width="28.28515625" customWidth="1"/>
    <col min="15350" max="15350" width="10.140625" customWidth="1"/>
    <col min="15351" max="15351" width="12" customWidth="1"/>
    <col min="15352" max="15352" width="6.42578125" customWidth="1"/>
    <col min="15353" max="15353" width="12.140625" customWidth="1"/>
    <col min="15354" max="15354" width="11.140625" customWidth="1"/>
    <col min="15355" max="15355" width="11.5703125" customWidth="1"/>
    <col min="15356" max="15356" width="9.28515625" customWidth="1"/>
    <col min="15357" max="15357" width="10.42578125" customWidth="1"/>
    <col min="15358" max="15358" width="8.42578125" customWidth="1"/>
    <col min="15359" max="15359" width="7.7109375" customWidth="1"/>
    <col min="15360" max="15360" width="9" customWidth="1"/>
    <col min="15603" max="15603" width="4" customWidth="1"/>
    <col min="15604" max="15604" width="6.5703125" customWidth="1"/>
    <col min="15605" max="15605" width="28.28515625" customWidth="1"/>
    <col min="15606" max="15606" width="10.140625" customWidth="1"/>
    <col min="15607" max="15607" width="12" customWidth="1"/>
    <col min="15608" max="15608" width="6.42578125" customWidth="1"/>
    <col min="15609" max="15609" width="12.140625" customWidth="1"/>
    <col min="15610" max="15610" width="11.140625" customWidth="1"/>
    <col min="15611" max="15611" width="11.5703125" customWidth="1"/>
    <col min="15612" max="15612" width="9.28515625" customWidth="1"/>
    <col min="15613" max="15613" width="10.42578125" customWidth="1"/>
    <col min="15614" max="15614" width="8.42578125" customWidth="1"/>
    <col min="15615" max="15615" width="7.7109375" customWidth="1"/>
    <col min="15616" max="15616" width="9" customWidth="1"/>
    <col min="15859" max="15859" width="4" customWidth="1"/>
    <col min="15860" max="15860" width="6.5703125" customWidth="1"/>
    <col min="15861" max="15861" width="28.28515625" customWidth="1"/>
    <col min="15862" max="15862" width="10.140625" customWidth="1"/>
    <col min="15863" max="15863" width="12" customWidth="1"/>
    <col min="15864" max="15864" width="6.42578125" customWidth="1"/>
    <col min="15865" max="15865" width="12.140625" customWidth="1"/>
    <col min="15866" max="15866" width="11.140625" customWidth="1"/>
    <col min="15867" max="15867" width="11.5703125" customWidth="1"/>
    <col min="15868" max="15868" width="9.28515625" customWidth="1"/>
    <col min="15869" max="15869" width="10.42578125" customWidth="1"/>
    <col min="15870" max="15870" width="8.42578125" customWidth="1"/>
    <col min="15871" max="15871" width="7.7109375" customWidth="1"/>
    <col min="15872" max="15872" width="9" customWidth="1"/>
    <col min="16115" max="16115" width="4" customWidth="1"/>
    <col min="16116" max="16116" width="6.5703125" customWidth="1"/>
    <col min="16117" max="16117" width="28.28515625" customWidth="1"/>
    <col min="16118" max="16118" width="10.140625" customWidth="1"/>
    <col min="16119" max="16119" width="12" customWidth="1"/>
    <col min="16120" max="16120" width="6.42578125" customWidth="1"/>
    <col min="16121" max="16121" width="12.140625" customWidth="1"/>
    <col min="16122" max="16122" width="11.140625" customWidth="1"/>
    <col min="16123" max="16123" width="11.5703125" customWidth="1"/>
    <col min="16124" max="16124" width="9.28515625" customWidth="1"/>
    <col min="16125" max="16125" width="10.42578125" customWidth="1"/>
    <col min="16126" max="16126" width="8.42578125" customWidth="1"/>
    <col min="16127" max="16127" width="7.7109375" customWidth="1"/>
    <col min="16128" max="16128" width="9" customWidth="1"/>
  </cols>
  <sheetData>
    <row r="1" spans="1:14" x14ac:dyDescent="0.25">
      <c r="N1" s="22" t="s">
        <v>180</v>
      </c>
    </row>
    <row r="2" spans="1:14" s="31" customFormat="1" x14ac:dyDescent="0.25">
      <c r="A2" s="481" t="s">
        <v>181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</row>
    <row r="4" spans="1:14" x14ac:dyDescent="0.25">
      <c r="A4" s="482" t="s">
        <v>2</v>
      </c>
      <c r="B4" s="482" t="s">
        <v>68</v>
      </c>
      <c r="C4" s="484" t="s">
        <v>182</v>
      </c>
      <c r="D4" s="486" t="s">
        <v>4</v>
      </c>
      <c r="E4" s="487"/>
      <c r="F4" s="488"/>
      <c r="G4" s="479" t="s">
        <v>183</v>
      </c>
      <c r="H4" s="492" t="s">
        <v>11</v>
      </c>
      <c r="I4" s="493"/>
      <c r="J4" s="479" t="s">
        <v>184</v>
      </c>
      <c r="K4" s="479" t="s">
        <v>185</v>
      </c>
      <c r="L4" s="479" t="s">
        <v>186</v>
      </c>
      <c r="M4" s="479" t="s">
        <v>187</v>
      </c>
      <c r="N4" s="479" t="s">
        <v>188</v>
      </c>
    </row>
    <row r="5" spans="1:14" ht="72.75" customHeight="1" x14ac:dyDescent="0.25">
      <c r="A5" s="483"/>
      <c r="B5" s="483"/>
      <c r="C5" s="485"/>
      <c r="D5" s="489"/>
      <c r="E5" s="490"/>
      <c r="F5" s="491"/>
      <c r="G5" s="480"/>
      <c r="H5" s="32" t="s">
        <v>189</v>
      </c>
      <c r="I5" s="32" t="s">
        <v>190</v>
      </c>
      <c r="J5" s="480"/>
      <c r="K5" s="480"/>
      <c r="L5" s="480"/>
      <c r="M5" s="480"/>
      <c r="N5" s="480"/>
    </row>
    <row r="6" spans="1:14" ht="29.25" customHeight="1" x14ac:dyDescent="0.25">
      <c r="A6" s="191"/>
      <c r="B6" s="191"/>
      <c r="C6" s="33"/>
      <c r="D6" s="34" t="s">
        <v>5</v>
      </c>
      <c r="E6" s="189" t="s">
        <v>6</v>
      </c>
      <c r="F6" s="189" t="s">
        <v>70</v>
      </c>
      <c r="G6" s="189"/>
      <c r="H6" s="189"/>
      <c r="I6" s="189"/>
      <c r="J6" s="189"/>
      <c r="K6" s="189"/>
      <c r="L6" s="189"/>
      <c r="M6" s="189"/>
      <c r="N6" s="189"/>
    </row>
    <row r="7" spans="1:14" s="41" customFormat="1" ht="12" x14ac:dyDescent="0.2">
      <c r="A7" s="173"/>
      <c r="B7" s="173" t="s">
        <v>73</v>
      </c>
      <c r="C7" s="165" t="s">
        <v>74</v>
      </c>
      <c r="D7" s="171">
        <v>28970</v>
      </c>
      <c r="E7" s="171">
        <v>26732.51</v>
      </c>
      <c r="F7" s="171">
        <f>E7/D7*100</f>
        <v>92.27652744218156</v>
      </c>
      <c r="G7" s="171">
        <f t="shared" ref="G7:G21" si="0">H7+I7</f>
        <v>26732.51</v>
      </c>
      <c r="H7" s="171">
        <v>0</v>
      </c>
      <c r="I7" s="171">
        <f>-(H7+K7+J7+L7+M7+N7-E7)</f>
        <v>26732.51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</row>
    <row r="8" spans="1:14" s="41" customFormat="1" ht="12" x14ac:dyDescent="0.2">
      <c r="A8" s="173"/>
      <c r="B8" s="173" t="s">
        <v>398</v>
      </c>
      <c r="C8" s="165" t="s">
        <v>399</v>
      </c>
      <c r="D8" s="171">
        <v>6296</v>
      </c>
      <c r="E8" s="171">
        <v>4934.0200000000004</v>
      </c>
      <c r="F8" s="171">
        <f>E8/D8*100</f>
        <v>78.367534942820853</v>
      </c>
      <c r="G8" s="171">
        <f>I8</f>
        <v>4934.0200000000004</v>
      </c>
      <c r="H8" s="171">
        <v>0</v>
      </c>
      <c r="I8" s="171">
        <f>E8</f>
        <v>4934.0200000000004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</row>
    <row r="9" spans="1:14" s="41" customFormat="1" ht="12" x14ac:dyDescent="0.2">
      <c r="A9" s="173"/>
      <c r="B9" s="173" t="s">
        <v>78</v>
      </c>
      <c r="C9" s="165" t="s">
        <v>79</v>
      </c>
      <c r="D9" s="171">
        <v>563312.94999999995</v>
      </c>
      <c r="E9" s="171">
        <v>562904.19999999995</v>
      </c>
      <c r="F9" s="171">
        <f t="shared" ref="F9:F68" si="1">E9/D9*100</f>
        <v>99.927438202867506</v>
      </c>
      <c r="G9" s="171">
        <f t="shared" si="0"/>
        <v>562904.19999999995</v>
      </c>
      <c r="H9" s="171">
        <v>0</v>
      </c>
      <c r="I9" s="171">
        <f>-(H9+K9+J9+L9+M9+N9-E9)</f>
        <v>562904.19999999995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</row>
    <row r="10" spans="1:14" s="38" customFormat="1" ht="12" x14ac:dyDescent="0.2">
      <c r="A10" s="174" t="s">
        <v>16</v>
      </c>
      <c r="B10" s="174"/>
      <c r="C10" s="221" t="s">
        <v>17</v>
      </c>
      <c r="D10" s="172">
        <f>SUM(D7:D9)</f>
        <v>598578.94999999995</v>
      </c>
      <c r="E10" s="172">
        <f>SUM(E7:E9)</f>
        <v>594570.73</v>
      </c>
      <c r="F10" s="172">
        <f t="shared" si="1"/>
        <v>99.330377387978658</v>
      </c>
      <c r="G10" s="172">
        <f>H10+I10</f>
        <v>594570.73</v>
      </c>
      <c r="H10" s="172">
        <f t="shared" ref="H10:N10" si="2">SUM(H7:H9)</f>
        <v>0</v>
      </c>
      <c r="I10" s="172">
        <f t="shared" si="2"/>
        <v>594570.73</v>
      </c>
      <c r="J10" s="172">
        <f t="shared" si="2"/>
        <v>0</v>
      </c>
      <c r="K10" s="172">
        <f t="shared" si="2"/>
        <v>0</v>
      </c>
      <c r="L10" s="172">
        <f t="shared" si="2"/>
        <v>0</v>
      </c>
      <c r="M10" s="172">
        <f t="shared" si="2"/>
        <v>0</v>
      </c>
      <c r="N10" s="172">
        <f t="shared" si="2"/>
        <v>0</v>
      </c>
    </row>
    <row r="11" spans="1:14" s="38" customFormat="1" ht="12" x14ac:dyDescent="0.2">
      <c r="A11" s="174"/>
      <c r="B11" s="173" t="s">
        <v>80</v>
      </c>
      <c r="C11" s="165" t="s">
        <v>81</v>
      </c>
      <c r="D11" s="171">
        <v>2998</v>
      </c>
      <c r="E11" s="171">
        <v>2978.8</v>
      </c>
      <c r="F11" s="171">
        <f t="shared" si="1"/>
        <v>99.359573048699133</v>
      </c>
      <c r="G11" s="171">
        <f t="shared" si="0"/>
        <v>2978.8</v>
      </c>
      <c r="H11" s="171">
        <v>0</v>
      </c>
      <c r="I11" s="171">
        <f>-(H11+K11+J11+L11+M11+N11-E11)</f>
        <v>2978.8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1:14" s="38" customFormat="1" ht="12" x14ac:dyDescent="0.2">
      <c r="A12" s="174"/>
      <c r="B12" s="173" t="s">
        <v>82</v>
      </c>
      <c r="C12" s="165" t="s">
        <v>191</v>
      </c>
      <c r="D12" s="171">
        <v>260</v>
      </c>
      <c r="E12" s="171">
        <v>257.52999999999997</v>
      </c>
      <c r="F12" s="171">
        <f t="shared" si="1"/>
        <v>99.05</v>
      </c>
      <c r="G12" s="171">
        <f t="shared" si="0"/>
        <v>257.52999999999997</v>
      </c>
      <c r="H12" s="171">
        <v>0</v>
      </c>
      <c r="I12" s="171">
        <f>-(H12+K12+J12+L12+M12+N12-E12)</f>
        <v>257.52999999999997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</row>
    <row r="13" spans="1:14" s="38" customFormat="1" ht="12" x14ac:dyDescent="0.2">
      <c r="A13" s="174"/>
      <c r="B13" s="173" t="s">
        <v>333</v>
      </c>
      <c r="C13" s="165" t="s">
        <v>370</v>
      </c>
      <c r="D13" s="171">
        <v>60802.6</v>
      </c>
      <c r="E13" s="171">
        <v>60702.8</v>
      </c>
      <c r="F13" s="171">
        <f t="shared" si="1"/>
        <v>99.835862282205042</v>
      </c>
      <c r="G13" s="171">
        <f t="shared" si="0"/>
        <v>60702.8</v>
      </c>
      <c r="H13" s="171">
        <v>0</v>
      </c>
      <c r="I13" s="171">
        <f>-(H13+K13+J13+L13+M13+N13-E13)</f>
        <v>60702.8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1:14" s="41" customFormat="1" ht="12" x14ac:dyDescent="0.2">
      <c r="A14" s="173"/>
      <c r="B14" s="173" t="s">
        <v>84</v>
      </c>
      <c r="C14" s="165" t="s">
        <v>85</v>
      </c>
      <c r="D14" s="171">
        <v>720611</v>
      </c>
      <c r="E14" s="171">
        <v>570834.18999999994</v>
      </c>
      <c r="F14" s="171">
        <f t="shared" si="1"/>
        <v>79.215303402251692</v>
      </c>
      <c r="G14" s="171">
        <f t="shared" si="0"/>
        <v>570834.18999999994</v>
      </c>
      <c r="H14" s="171">
        <v>0</v>
      </c>
      <c r="I14" s="171">
        <f>-(H14+K14+J14+L14+M14+N14-E14)</f>
        <v>570834.18999999994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</row>
    <row r="15" spans="1:14" s="41" customFormat="1" ht="12" x14ac:dyDescent="0.2">
      <c r="A15" s="173"/>
      <c r="B15" s="173" t="s">
        <v>371</v>
      </c>
      <c r="C15" s="165" t="s">
        <v>79</v>
      </c>
      <c r="D15" s="171">
        <v>7500</v>
      </c>
      <c r="E15" s="171">
        <v>7500</v>
      </c>
      <c r="F15" s="171">
        <f t="shared" si="1"/>
        <v>100</v>
      </c>
      <c r="G15" s="171">
        <v>7500</v>
      </c>
      <c r="H15" s="171">
        <v>0</v>
      </c>
      <c r="I15" s="171">
        <v>7500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</row>
    <row r="16" spans="1:14" s="38" customFormat="1" ht="12" x14ac:dyDescent="0.2">
      <c r="A16" s="174" t="s">
        <v>19</v>
      </c>
      <c r="B16" s="174"/>
      <c r="C16" s="221" t="s">
        <v>20</v>
      </c>
      <c r="D16" s="172">
        <f>SUM(D11:D15)</f>
        <v>792171.6</v>
      </c>
      <c r="E16" s="172">
        <f>SUM(E11:E15)</f>
        <v>642273.31999999995</v>
      </c>
      <c r="F16" s="172">
        <f t="shared" si="1"/>
        <v>81.077549359254988</v>
      </c>
      <c r="G16" s="172">
        <f>SUM(G11:G15)</f>
        <v>642273.31999999995</v>
      </c>
      <c r="H16" s="172">
        <f t="shared" ref="H16:N16" si="3">SUM(H11:H15)</f>
        <v>0</v>
      </c>
      <c r="I16" s="172">
        <f t="shared" si="3"/>
        <v>642273.31999999995</v>
      </c>
      <c r="J16" s="172">
        <f t="shared" si="3"/>
        <v>0</v>
      </c>
      <c r="K16" s="172">
        <f t="shared" si="3"/>
        <v>0</v>
      </c>
      <c r="L16" s="172">
        <f t="shared" si="3"/>
        <v>0</v>
      </c>
      <c r="M16" s="172">
        <f t="shared" si="3"/>
        <v>0</v>
      </c>
      <c r="N16" s="172">
        <f t="shared" si="3"/>
        <v>0</v>
      </c>
    </row>
    <row r="17" spans="1:14" s="41" customFormat="1" ht="12" x14ac:dyDescent="0.2">
      <c r="A17" s="173"/>
      <c r="B17" s="173" t="s">
        <v>86</v>
      </c>
      <c r="C17" s="165" t="s">
        <v>192</v>
      </c>
      <c r="D17" s="171">
        <v>376914</v>
      </c>
      <c r="E17" s="171">
        <v>62340.41</v>
      </c>
      <c r="F17" s="171">
        <f t="shared" si="1"/>
        <v>16.539690751736472</v>
      </c>
      <c r="G17" s="171">
        <f t="shared" si="0"/>
        <v>62340.41</v>
      </c>
      <c r="H17" s="171">
        <v>0</v>
      </c>
      <c r="I17" s="171">
        <f>-(H17+K17+J17+L17+M17+N17-E17)</f>
        <v>62340.41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</row>
    <row r="18" spans="1:14" s="41" customFormat="1" ht="22.5" x14ac:dyDescent="0.2">
      <c r="A18" s="173"/>
      <c r="B18" s="173" t="s">
        <v>400</v>
      </c>
      <c r="C18" s="40" t="s">
        <v>401</v>
      </c>
      <c r="D18" s="171">
        <v>156792</v>
      </c>
      <c r="E18" s="171">
        <v>85316.87</v>
      </c>
      <c r="F18" s="171">
        <f>E18/D18*100</f>
        <v>54.414045359457106</v>
      </c>
      <c r="G18" s="171">
        <f>E18</f>
        <v>85316.87</v>
      </c>
      <c r="H18" s="171">
        <v>0</v>
      </c>
      <c r="I18" s="171">
        <f>G18</f>
        <v>85316.87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</row>
    <row r="19" spans="1:14" s="38" customFormat="1" ht="23.45" customHeight="1" x14ac:dyDescent="0.2">
      <c r="A19" s="174" t="s">
        <v>22</v>
      </c>
      <c r="B19" s="174"/>
      <c r="C19" s="39" t="s">
        <v>193</v>
      </c>
      <c r="D19" s="172">
        <f>SUM(D17:D18)</f>
        <v>533706</v>
      </c>
      <c r="E19" s="172">
        <f>SUM(E17:E18)</f>
        <v>147657.28</v>
      </c>
      <c r="F19" s="172">
        <f t="shared" si="1"/>
        <v>27.666408097341982</v>
      </c>
      <c r="G19" s="172">
        <f>G17+G18</f>
        <v>147657.28</v>
      </c>
      <c r="H19" s="172">
        <f t="shared" ref="H19:N19" si="4">SUM(H17:H17)</f>
        <v>0</v>
      </c>
      <c r="I19" s="172">
        <f>I18+I17</f>
        <v>147657.28</v>
      </c>
      <c r="J19" s="172">
        <f t="shared" si="4"/>
        <v>0</v>
      </c>
      <c r="K19" s="172">
        <f t="shared" si="4"/>
        <v>0</v>
      </c>
      <c r="L19" s="172">
        <f t="shared" si="4"/>
        <v>0</v>
      </c>
      <c r="M19" s="172">
        <f t="shared" si="4"/>
        <v>0</v>
      </c>
      <c r="N19" s="172">
        <f t="shared" si="4"/>
        <v>0</v>
      </c>
    </row>
    <row r="20" spans="1:14" s="41" customFormat="1" ht="22.5" x14ac:dyDescent="0.2">
      <c r="A20" s="173"/>
      <c r="B20" s="173" t="s">
        <v>88</v>
      </c>
      <c r="C20" s="40" t="s">
        <v>194</v>
      </c>
      <c r="D20" s="171">
        <v>255000</v>
      </c>
      <c r="E20" s="171">
        <v>91218.92</v>
      </c>
      <c r="F20" s="171">
        <f t="shared" si="1"/>
        <v>35.772125490196075</v>
      </c>
      <c r="G20" s="171">
        <f t="shared" si="0"/>
        <v>91218.92</v>
      </c>
      <c r="H20" s="171">
        <v>0</v>
      </c>
      <c r="I20" s="171">
        <f>-(H20+K20+J20+L20+M20+N20-E20)</f>
        <v>91218.92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</row>
    <row r="21" spans="1:14" s="41" customFormat="1" ht="15" customHeight="1" x14ac:dyDescent="0.2">
      <c r="A21" s="173"/>
      <c r="B21" s="173" t="s">
        <v>90</v>
      </c>
      <c r="C21" s="40" t="s">
        <v>91</v>
      </c>
      <c r="D21" s="171">
        <v>20000</v>
      </c>
      <c r="E21" s="171">
        <v>19230</v>
      </c>
      <c r="F21" s="171">
        <f t="shared" si="1"/>
        <v>96.15</v>
      </c>
      <c r="G21" s="171">
        <f t="shared" si="0"/>
        <v>19230</v>
      </c>
      <c r="H21" s="171">
        <v>0</v>
      </c>
      <c r="I21" s="171">
        <f>-(H21+K21+J21+L21+M21+N21-E21)</f>
        <v>19230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</row>
    <row r="22" spans="1:14" s="41" customFormat="1" ht="15" customHeight="1" x14ac:dyDescent="0.2">
      <c r="A22" s="173"/>
      <c r="B22" s="173" t="s">
        <v>319</v>
      </c>
      <c r="C22" s="40" t="s">
        <v>79</v>
      </c>
      <c r="D22" s="171">
        <v>95000</v>
      </c>
      <c r="E22" s="171">
        <v>0</v>
      </c>
      <c r="F22" s="171">
        <f t="shared" si="1"/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</row>
    <row r="23" spans="1:14" s="38" customFormat="1" ht="12" x14ac:dyDescent="0.2">
      <c r="A23" s="174" t="s">
        <v>92</v>
      </c>
      <c r="B23" s="174"/>
      <c r="C23" s="221" t="s">
        <v>93</v>
      </c>
      <c r="D23" s="172">
        <f>SUM(D20:D22)</f>
        <v>370000</v>
      </c>
      <c r="E23" s="172">
        <f>SUM(E20:E21)</f>
        <v>110448.92</v>
      </c>
      <c r="F23" s="172">
        <f t="shared" si="1"/>
        <v>29.85105945945946</v>
      </c>
      <c r="G23" s="172">
        <f>G20+G21</f>
        <v>110448.92</v>
      </c>
      <c r="H23" s="172">
        <f>SUM(H20:H21)</f>
        <v>0</v>
      </c>
      <c r="I23" s="172">
        <f>SUM(I20:I22)</f>
        <v>110448.92</v>
      </c>
      <c r="J23" s="172">
        <f>SUM(J20:J22)</f>
        <v>0</v>
      </c>
      <c r="K23" s="172">
        <f>SUM(K20:K22)</f>
        <v>0</v>
      </c>
      <c r="L23" s="172">
        <f>SUM(L20:L21)</f>
        <v>0</v>
      </c>
      <c r="M23" s="172">
        <f>SUM(M20:M21)</f>
        <v>0</v>
      </c>
      <c r="N23" s="172">
        <f>SUM(N20:N21)</f>
        <v>0</v>
      </c>
    </row>
    <row r="24" spans="1:14" s="41" customFormat="1" ht="12" x14ac:dyDescent="0.2">
      <c r="A24" s="173"/>
      <c r="B24" s="173" t="s">
        <v>402</v>
      </c>
      <c r="C24" s="165" t="s">
        <v>79</v>
      </c>
      <c r="D24" s="171">
        <v>140000</v>
      </c>
      <c r="E24" s="171">
        <v>140000</v>
      </c>
      <c r="F24" s="171">
        <f>E24/D24*100</f>
        <v>100</v>
      </c>
      <c r="G24" s="171">
        <v>140000</v>
      </c>
      <c r="H24" s="171">
        <v>0</v>
      </c>
      <c r="I24" s="171">
        <v>140000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</row>
    <row r="25" spans="1:14" s="38" customFormat="1" ht="12" x14ac:dyDescent="0.2">
      <c r="A25" s="174" t="s">
        <v>387</v>
      </c>
      <c r="B25" s="174"/>
      <c r="C25" s="221" t="s">
        <v>403</v>
      </c>
      <c r="D25" s="172">
        <f>D24</f>
        <v>140000</v>
      </c>
      <c r="E25" s="172">
        <f>E24</f>
        <v>140000</v>
      </c>
      <c r="F25" s="172">
        <f>E25/D25*100</f>
        <v>100</v>
      </c>
      <c r="G25" s="172">
        <f t="shared" ref="G25:N25" si="5">G24</f>
        <v>140000</v>
      </c>
      <c r="H25" s="172">
        <f t="shared" si="5"/>
        <v>0</v>
      </c>
      <c r="I25" s="172">
        <f t="shared" si="5"/>
        <v>140000</v>
      </c>
      <c r="J25" s="172">
        <f t="shared" si="5"/>
        <v>0</v>
      </c>
      <c r="K25" s="172">
        <f t="shared" si="5"/>
        <v>0</v>
      </c>
      <c r="L25" s="172">
        <f t="shared" si="5"/>
        <v>0</v>
      </c>
      <c r="M25" s="172">
        <f t="shared" si="5"/>
        <v>0</v>
      </c>
      <c r="N25" s="172">
        <f t="shared" si="5"/>
        <v>0</v>
      </c>
    </row>
    <row r="26" spans="1:14" s="41" customFormat="1" ht="12" x14ac:dyDescent="0.2">
      <c r="A26" s="173"/>
      <c r="B26" s="173" t="s">
        <v>94</v>
      </c>
      <c r="C26" s="165" t="s">
        <v>95</v>
      </c>
      <c r="D26" s="171">
        <v>87809.33</v>
      </c>
      <c r="E26" s="171">
        <v>85726.2</v>
      </c>
      <c r="F26" s="171">
        <f t="shared" si="1"/>
        <v>97.627666672778389</v>
      </c>
      <c r="G26" s="171">
        <f>H26+I26</f>
        <v>85726.2</v>
      </c>
      <c r="H26" s="171">
        <v>85726.2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</row>
    <row r="27" spans="1:14" s="41" customFormat="1" ht="12" x14ac:dyDescent="0.2">
      <c r="A27" s="173"/>
      <c r="B27" s="173" t="s">
        <v>96</v>
      </c>
      <c r="C27" s="165" t="s">
        <v>195</v>
      </c>
      <c r="D27" s="171">
        <v>210071</v>
      </c>
      <c r="E27" s="171">
        <v>147182.85999999999</v>
      </c>
      <c r="F27" s="171">
        <f t="shared" si="1"/>
        <v>70.063388092597251</v>
      </c>
      <c r="G27" s="171">
        <f t="shared" ref="G27:G28" si="6">H27+I27</f>
        <v>21918.859999999986</v>
      </c>
      <c r="H27" s="171">
        <v>0</v>
      </c>
      <c r="I27" s="171">
        <f t="shared" ref="I27:I31" si="7">-(H27+K27+J27+L27+M27+N27-E27)</f>
        <v>21918.859999999986</v>
      </c>
      <c r="J27" s="171">
        <v>0</v>
      </c>
      <c r="K27" s="171">
        <v>125264</v>
      </c>
      <c r="L27" s="171">
        <v>0</v>
      </c>
      <c r="M27" s="171">
        <v>0</v>
      </c>
      <c r="N27" s="171">
        <v>0</v>
      </c>
    </row>
    <row r="28" spans="1:14" s="41" customFormat="1" ht="12" x14ac:dyDescent="0.2">
      <c r="A28" s="173"/>
      <c r="B28" s="173" t="s">
        <v>97</v>
      </c>
      <c r="C28" s="165" t="s">
        <v>98</v>
      </c>
      <c r="D28" s="171">
        <v>4334602</v>
      </c>
      <c r="E28" s="171">
        <v>3436587.42</v>
      </c>
      <c r="F28" s="171">
        <f t="shared" si="1"/>
        <v>79.28265201741705</v>
      </c>
      <c r="G28" s="171">
        <f t="shared" si="6"/>
        <v>3431692.78</v>
      </c>
      <c r="H28" s="171">
        <v>2798733.87</v>
      </c>
      <c r="I28" s="171">
        <f t="shared" si="7"/>
        <v>632958.90999999968</v>
      </c>
      <c r="J28" s="171">
        <v>0</v>
      </c>
      <c r="K28" s="171">
        <v>4894.6400000000003</v>
      </c>
      <c r="L28" s="171">
        <v>0</v>
      </c>
      <c r="M28" s="171">
        <v>0</v>
      </c>
      <c r="N28" s="171">
        <v>0</v>
      </c>
    </row>
    <row r="29" spans="1:14" s="41" customFormat="1" ht="22.5" x14ac:dyDescent="0.2">
      <c r="A29" s="173"/>
      <c r="B29" s="173" t="s">
        <v>99</v>
      </c>
      <c r="C29" s="40" t="s">
        <v>100</v>
      </c>
      <c r="D29" s="171">
        <v>79307</v>
      </c>
      <c r="E29" s="171">
        <v>55742.35</v>
      </c>
      <c r="F29" s="171">
        <f t="shared" si="1"/>
        <v>70.286796877955283</v>
      </c>
      <c r="G29" s="171">
        <f>H29+I29</f>
        <v>55742.35</v>
      </c>
      <c r="H29" s="171">
        <v>0</v>
      </c>
      <c r="I29" s="171">
        <f t="shared" si="7"/>
        <v>55742.35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</row>
    <row r="30" spans="1:14" s="41" customFormat="1" ht="22.5" x14ac:dyDescent="0.2">
      <c r="A30" s="173"/>
      <c r="B30" s="173" t="s">
        <v>298</v>
      </c>
      <c r="C30" s="40" t="s">
        <v>299</v>
      </c>
      <c r="D30" s="171">
        <v>460050</v>
      </c>
      <c r="E30" s="171">
        <v>449262.41</v>
      </c>
      <c r="F30" s="171">
        <f t="shared" si="1"/>
        <v>97.655126616672092</v>
      </c>
      <c r="G30" s="171">
        <f>H30+I30</f>
        <v>448012.23</v>
      </c>
      <c r="H30" s="171">
        <v>368963.55</v>
      </c>
      <c r="I30" s="171">
        <f t="shared" si="7"/>
        <v>79048.679999999993</v>
      </c>
      <c r="J30" s="171">
        <v>0</v>
      </c>
      <c r="K30" s="171">
        <v>1250.18</v>
      </c>
      <c r="L30" s="171">
        <v>0</v>
      </c>
      <c r="M30" s="171">
        <v>0</v>
      </c>
      <c r="N30" s="171">
        <v>0</v>
      </c>
    </row>
    <row r="31" spans="1:14" s="41" customFormat="1" ht="12" x14ac:dyDescent="0.2">
      <c r="A31" s="173"/>
      <c r="B31" s="173" t="s">
        <v>101</v>
      </c>
      <c r="C31" s="165" t="s">
        <v>79</v>
      </c>
      <c r="D31" s="171">
        <v>469089</v>
      </c>
      <c r="E31" s="171">
        <v>440550.59</v>
      </c>
      <c r="F31" s="171">
        <f t="shared" si="1"/>
        <v>93.916205666728487</v>
      </c>
      <c r="G31" s="171">
        <f>H31+I31</f>
        <v>188827.51000000007</v>
      </c>
      <c r="H31" s="171">
        <v>156984.75</v>
      </c>
      <c r="I31" s="171">
        <f t="shared" si="7"/>
        <v>31842.760000000068</v>
      </c>
      <c r="J31" s="171">
        <v>198773.08</v>
      </c>
      <c r="K31" s="171">
        <v>52950</v>
      </c>
      <c r="L31" s="171">
        <v>0</v>
      </c>
      <c r="M31" s="171">
        <v>0</v>
      </c>
      <c r="N31" s="171">
        <v>0</v>
      </c>
    </row>
    <row r="32" spans="1:14" s="38" customFormat="1" ht="12.6" customHeight="1" x14ac:dyDescent="0.2">
      <c r="A32" s="174" t="s">
        <v>25</v>
      </c>
      <c r="B32" s="174"/>
      <c r="C32" s="221" t="s">
        <v>102</v>
      </c>
      <c r="D32" s="172">
        <f>SUM(D26:D31)</f>
        <v>5640928.3300000001</v>
      </c>
      <c r="E32" s="172">
        <f>SUM(E26:E31)</f>
        <v>4615051.83</v>
      </c>
      <c r="F32" s="172">
        <f t="shared" si="1"/>
        <v>81.813693775471179</v>
      </c>
      <c r="G32" s="172">
        <f>H32+I32</f>
        <v>4231919.93</v>
      </c>
      <c r="H32" s="172">
        <f t="shared" ref="H32:N32" si="8">SUM(H26:H31)</f>
        <v>3410408.37</v>
      </c>
      <c r="I32" s="172">
        <f t="shared" si="8"/>
        <v>821511.55999999959</v>
      </c>
      <c r="J32" s="172">
        <f t="shared" si="8"/>
        <v>198773.08</v>
      </c>
      <c r="K32" s="172">
        <f t="shared" si="8"/>
        <v>184358.82</v>
      </c>
      <c r="L32" s="172">
        <f t="shared" si="8"/>
        <v>0</v>
      </c>
      <c r="M32" s="172">
        <f t="shared" si="8"/>
        <v>0</v>
      </c>
      <c r="N32" s="172">
        <f t="shared" si="8"/>
        <v>0</v>
      </c>
    </row>
    <row r="33" spans="1:14" s="41" customFormat="1" ht="22.15" customHeight="1" x14ac:dyDescent="0.2">
      <c r="A33" s="173"/>
      <c r="B33" s="173" t="s">
        <v>103</v>
      </c>
      <c r="C33" s="40" t="s">
        <v>196</v>
      </c>
      <c r="D33" s="171">
        <v>1346</v>
      </c>
      <c r="E33" s="171">
        <v>1346</v>
      </c>
      <c r="F33" s="171">
        <f t="shared" si="1"/>
        <v>100</v>
      </c>
      <c r="G33" s="171">
        <f>H33+I33</f>
        <v>1346</v>
      </c>
      <c r="H33" s="171">
        <v>0</v>
      </c>
      <c r="I33" s="171">
        <f>-(H33+K33+J33+L33+M33+N33-E33)</f>
        <v>1346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</row>
    <row r="34" spans="1:14" s="38" customFormat="1" ht="56.25" x14ac:dyDescent="0.2">
      <c r="A34" s="174" t="s">
        <v>26</v>
      </c>
      <c r="B34" s="174"/>
      <c r="C34" s="39" t="s">
        <v>197</v>
      </c>
      <c r="D34" s="172">
        <f>D33</f>
        <v>1346</v>
      </c>
      <c r="E34" s="172">
        <f>E33</f>
        <v>1346</v>
      </c>
      <c r="F34" s="172">
        <f t="shared" si="1"/>
        <v>100</v>
      </c>
      <c r="G34" s="172">
        <f t="shared" ref="G34:N34" si="9">G33</f>
        <v>1346</v>
      </c>
      <c r="H34" s="172">
        <f t="shared" si="9"/>
        <v>0</v>
      </c>
      <c r="I34" s="172">
        <f t="shared" si="9"/>
        <v>1346</v>
      </c>
      <c r="J34" s="172">
        <f t="shared" si="9"/>
        <v>0</v>
      </c>
      <c r="K34" s="172">
        <f t="shared" si="9"/>
        <v>0</v>
      </c>
      <c r="L34" s="172">
        <f t="shared" si="9"/>
        <v>0</v>
      </c>
      <c r="M34" s="172">
        <f t="shared" si="9"/>
        <v>0</v>
      </c>
      <c r="N34" s="172">
        <f t="shared" si="9"/>
        <v>0</v>
      </c>
    </row>
    <row r="35" spans="1:14" s="41" customFormat="1" ht="75" customHeight="1" x14ac:dyDescent="0.2">
      <c r="A35" s="173"/>
      <c r="B35" s="173" t="s">
        <v>313</v>
      </c>
      <c r="C35" s="40" t="s">
        <v>372</v>
      </c>
      <c r="D35" s="171">
        <v>3000</v>
      </c>
      <c r="E35" s="171">
        <v>0</v>
      </c>
      <c r="F35" s="171">
        <f t="shared" si="1"/>
        <v>0</v>
      </c>
      <c r="G35" s="171">
        <f t="shared" ref="G35:G38" si="10">H35+I35</f>
        <v>0</v>
      </c>
      <c r="H35" s="171">
        <v>0</v>
      </c>
      <c r="I35" s="171">
        <f>-(H35+K35+J35+L35+M35+N35-E35)</f>
        <v>0</v>
      </c>
      <c r="J35" s="171">
        <v>0</v>
      </c>
      <c r="K35" s="171">
        <f>E35</f>
        <v>0</v>
      </c>
      <c r="L35" s="171">
        <v>0</v>
      </c>
      <c r="M35" s="171">
        <v>0</v>
      </c>
      <c r="N35" s="171">
        <v>0</v>
      </c>
    </row>
    <row r="36" spans="1:14" s="38" customFormat="1" ht="13.5" customHeight="1" x14ac:dyDescent="0.2">
      <c r="A36" s="174" t="s">
        <v>105</v>
      </c>
      <c r="B36" s="174"/>
      <c r="C36" s="39" t="s">
        <v>106</v>
      </c>
      <c r="D36" s="172">
        <f>D35</f>
        <v>3000</v>
      </c>
      <c r="E36" s="172">
        <f>E35</f>
        <v>0</v>
      </c>
      <c r="F36" s="172">
        <f t="shared" si="1"/>
        <v>0</v>
      </c>
      <c r="G36" s="172">
        <f t="shared" si="10"/>
        <v>0</v>
      </c>
      <c r="H36" s="172">
        <f t="shared" ref="H36:N36" si="11">H35</f>
        <v>0</v>
      </c>
      <c r="I36" s="172">
        <f t="shared" si="11"/>
        <v>0</v>
      </c>
      <c r="J36" s="172">
        <f t="shared" si="11"/>
        <v>0</v>
      </c>
      <c r="K36" s="172">
        <f t="shared" si="11"/>
        <v>0</v>
      </c>
      <c r="L36" s="172">
        <f t="shared" si="11"/>
        <v>0</v>
      </c>
      <c r="M36" s="172">
        <f t="shared" si="11"/>
        <v>0</v>
      </c>
      <c r="N36" s="172">
        <f t="shared" si="11"/>
        <v>0</v>
      </c>
    </row>
    <row r="37" spans="1:14" s="41" customFormat="1" ht="21" customHeight="1" x14ac:dyDescent="0.2">
      <c r="A37" s="173"/>
      <c r="B37" s="173" t="s">
        <v>404</v>
      </c>
      <c r="C37" s="40" t="s">
        <v>405</v>
      </c>
      <c r="D37" s="171">
        <v>20000</v>
      </c>
      <c r="E37" s="171">
        <v>20000</v>
      </c>
      <c r="F37" s="171">
        <v>100</v>
      </c>
      <c r="G37" s="171">
        <v>0</v>
      </c>
      <c r="H37" s="171">
        <v>0</v>
      </c>
      <c r="I37" s="171">
        <v>0</v>
      </c>
      <c r="J37" s="171">
        <v>20000</v>
      </c>
      <c r="K37" s="171">
        <v>0</v>
      </c>
      <c r="L37" s="171">
        <v>0</v>
      </c>
      <c r="M37" s="171">
        <v>0</v>
      </c>
      <c r="N37" s="171">
        <v>0</v>
      </c>
    </row>
    <row r="38" spans="1:14" s="38" customFormat="1" ht="12" x14ac:dyDescent="0.2">
      <c r="A38" s="173"/>
      <c r="B38" s="173" t="s">
        <v>107</v>
      </c>
      <c r="C38" s="165" t="s">
        <v>108</v>
      </c>
      <c r="D38" s="171">
        <v>469700</v>
      </c>
      <c r="E38" s="171">
        <v>378888.07</v>
      </c>
      <c r="F38" s="171">
        <f t="shared" si="1"/>
        <v>80.665971896955497</v>
      </c>
      <c r="G38" s="171">
        <f t="shared" si="10"/>
        <v>310616.36000000004</v>
      </c>
      <c r="H38" s="171">
        <f>6484.32+89440+2043.3</f>
        <v>97967.62000000001</v>
      </c>
      <c r="I38" s="171">
        <f>E38-H38-K38-J38</f>
        <v>212648.74000000002</v>
      </c>
      <c r="J38" s="171">
        <v>7747</v>
      </c>
      <c r="K38" s="171">
        <v>60524.71</v>
      </c>
      <c r="L38" s="171">
        <v>0</v>
      </c>
      <c r="M38" s="171">
        <v>0</v>
      </c>
      <c r="N38" s="171">
        <v>0</v>
      </c>
    </row>
    <row r="39" spans="1:14" s="41" customFormat="1" ht="13.9" customHeight="1" x14ac:dyDescent="0.2">
      <c r="A39" s="173"/>
      <c r="B39" s="173" t="s">
        <v>109</v>
      </c>
      <c r="C39" s="165" t="s">
        <v>79</v>
      </c>
      <c r="D39" s="171">
        <v>2535960.5099999998</v>
      </c>
      <c r="E39" s="171">
        <v>2519630.04</v>
      </c>
      <c r="F39" s="171">
        <f t="shared" si="1"/>
        <v>99.356043994549438</v>
      </c>
      <c r="G39" s="171">
        <f>H39+I39</f>
        <v>34870.040000000037</v>
      </c>
      <c r="H39" s="171">
        <v>0</v>
      </c>
      <c r="I39" s="171">
        <f t="shared" ref="I39" si="12">-(H39+K39+J39+L39+M39+N39-E39)</f>
        <v>34870.040000000037</v>
      </c>
      <c r="J39" s="171">
        <v>0</v>
      </c>
      <c r="K39" s="171">
        <v>2484760</v>
      </c>
      <c r="L39" s="171">
        <v>0</v>
      </c>
      <c r="M39" s="171">
        <v>0</v>
      </c>
      <c r="N39" s="171">
        <v>0</v>
      </c>
    </row>
    <row r="40" spans="1:14" s="38" customFormat="1" ht="40.5" customHeight="1" x14ac:dyDescent="0.2">
      <c r="A40" s="174" t="s">
        <v>28</v>
      </c>
      <c r="B40" s="174"/>
      <c r="C40" s="39" t="s">
        <v>29</v>
      </c>
      <c r="D40" s="172">
        <f>SUM(D37:D39)</f>
        <v>3025660.51</v>
      </c>
      <c r="E40" s="172">
        <f>SUM(E37:E39)</f>
        <v>2918518.11</v>
      </c>
      <c r="F40" s="172">
        <f t="shared" si="1"/>
        <v>96.458875685296235</v>
      </c>
      <c r="G40" s="172">
        <f>H40+I40</f>
        <v>345486.40000000008</v>
      </c>
      <c r="H40" s="172">
        <f t="shared" ref="H40:N40" si="13">SUM(H38:H39)</f>
        <v>97967.62000000001</v>
      </c>
      <c r="I40" s="172">
        <f t="shared" si="13"/>
        <v>247518.78000000006</v>
      </c>
      <c r="J40" s="172">
        <f>SUM(J37:J39)</f>
        <v>27747</v>
      </c>
      <c r="K40" s="172">
        <f t="shared" si="13"/>
        <v>2545284.71</v>
      </c>
      <c r="L40" s="172">
        <f t="shared" si="13"/>
        <v>0</v>
      </c>
      <c r="M40" s="172">
        <f t="shared" si="13"/>
        <v>0</v>
      </c>
      <c r="N40" s="172">
        <f t="shared" si="13"/>
        <v>0</v>
      </c>
    </row>
    <row r="41" spans="1:14" s="41" customFormat="1" ht="35.25" customHeight="1" x14ac:dyDescent="0.2">
      <c r="A41" s="173"/>
      <c r="B41" s="173" t="s">
        <v>110</v>
      </c>
      <c r="C41" s="40" t="s">
        <v>111</v>
      </c>
      <c r="D41" s="171">
        <v>196154.11</v>
      </c>
      <c r="E41" s="171">
        <v>106592.04</v>
      </c>
      <c r="F41" s="171">
        <f t="shared" si="1"/>
        <v>54.340966906071962</v>
      </c>
      <c r="G41" s="171">
        <f t="shared" ref="G41:G60" si="14">H41+I41</f>
        <v>0</v>
      </c>
      <c r="H41" s="171">
        <v>0</v>
      </c>
      <c r="I41" s="171">
        <f>-(H41+K41+J41+L41+M41+N41-E41)</f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f>E41</f>
        <v>106592.04</v>
      </c>
    </row>
    <row r="42" spans="1:14" s="38" customFormat="1" ht="22.5" x14ac:dyDescent="0.2">
      <c r="A42" s="174" t="s">
        <v>112</v>
      </c>
      <c r="B42" s="174"/>
      <c r="C42" s="39" t="s">
        <v>198</v>
      </c>
      <c r="D42" s="172">
        <f>D41</f>
        <v>196154.11</v>
      </c>
      <c r="E42" s="172">
        <f>E41</f>
        <v>106592.04</v>
      </c>
      <c r="F42" s="172">
        <f t="shared" si="1"/>
        <v>54.340966906071962</v>
      </c>
      <c r="G42" s="172">
        <f t="shared" si="14"/>
        <v>0</v>
      </c>
      <c r="H42" s="172">
        <f t="shared" ref="H42:N42" si="15">H41</f>
        <v>0</v>
      </c>
      <c r="I42" s="172">
        <f t="shared" si="15"/>
        <v>0</v>
      </c>
      <c r="J42" s="172">
        <f t="shared" si="15"/>
        <v>0</v>
      </c>
      <c r="K42" s="172">
        <f t="shared" si="15"/>
        <v>0</v>
      </c>
      <c r="L42" s="172">
        <f t="shared" si="15"/>
        <v>0</v>
      </c>
      <c r="M42" s="172">
        <f t="shared" si="15"/>
        <v>0</v>
      </c>
      <c r="N42" s="172">
        <f t="shared" si="15"/>
        <v>106592.04</v>
      </c>
    </row>
    <row r="43" spans="1:14" s="41" customFormat="1" ht="12" x14ac:dyDescent="0.2">
      <c r="A43" s="173"/>
      <c r="B43" s="173" t="s">
        <v>114</v>
      </c>
      <c r="C43" s="165" t="s">
        <v>115</v>
      </c>
      <c r="D43" s="170">
        <v>11000</v>
      </c>
      <c r="E43" s="170">
        <v>6920.1</v>
      </c>
      <c r="F43" s="171">
        <f t="shared" si="1"/>
        <v>62.91</v>
      </c>
      <c r="G43" s="171">
        <f t="shared" si="14"/>
        <v>6920.1</v>
      </c>
      <c r="H43" s="171">
        <v>0</v>
      </c>
      <c r="I43" s="171">
        <f>-(H43+K43+J43+L43+M43+N43-E43)</f>
        <v>6920.1</v>
      </c>
      <c r="J43" s="171">
        <v>0</v>
      </c>
      <c r="K43" s="171">
        <v>0</v>
      </c>
      <c r="L43" s="171">
        <v>0</v>
      </c>
      <c r="M43" s="171">
        <v>0</v>
      </c>
      <c r="N43" s="171">
        <v>0</v>
      </c>
    </row>
    <row r="44" spans="1:14" s="41" customFormat="1" ht="12" x14ac:dyDescent="0.2">
      <c r="A44" s="173"/>
      <c r="B44" s="173" t="s">
        <v>116</v>
      </c>
      <c r="C44" s="165" t="s">
        <v>117</v>
      </c>
      <c r="D44" s="170">
        <v>110021</v>
      </c>
      <c r="E44" s="170">
        <v>0</v>
      </c>
      <c r="F44" s="171">
        <f t="shared" si="1"/>
        <v>0</v>
      </c>
      <c r="G44" s="171">
        <f t="shared" si="14"/>
        <v>0</v>
      </c>
      <c r="H44" s="171">
        <v>0</v>
      </c>
      <c r="I44" s="171">
        <f>-(H44+K44+J44+L44+M44+N44-E44)</f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</row>
    <row r="45" spans="1:14" s="38" customFormat="1" ht="14.25" customHeight="1" x14ac:dyDescent="0.2">
      <c r="A45" s="174" t="s">
        <v>48</v>
      </c>
      <c r="B45" s="174"/>
      <c r="C45" s="221" t="s">
        <v>49</v>
      </c>
      <c r="D45" s="172">
        <f>SUM(D43:D44)</f>
        <v>121021</v>
      </c>
      <c r="E45" s="172">
        <f>SUM(E43:E44)</f>
        <v>6920.1</v>
      </c>
      <c r="F45" s="172">
        <f t="shared" si="1"/>
        <v>5.7180985118285257</v>
      </c>
      <c r="G45" s="172">
        <f>H45+I45</f>
        <v>6920.1</v>
      </c>
      <c r="H45" s="172">
        <f t="shared" ref="H45:N45" si="16">SUM(H43:H44)</f>
        <v>0</v>
      </c>
      <c r="I45" s="172">
        <f t="shared" si="16"/>
        <v>6920.1</v>
      </c>
      <c r="J45" s="172">
        <f t="shared" si="16"/>
        <v>0</v>
      </c>
      <c r="K45" s="172">
        <f t="shared" si="16"/>
        <v>0</v>
      </c>
      <c r="L45" s="172">
        <f t="shared" si="16"/>
        <v>0</v>
      </c>
      <c r="M45" s="172">
        <f t="shared" si="16"/>
        <v>0</v>
      </c>
      <c r="N45" s="172">
        <f t="shared" si="16"/>
        <v>0</v>
      </c>
    </row>
    <row r="46" spans="1:14" s="223" customFormat="1" ht="12" x14ac:dyDescent="0.2">
      <c r="A46" s="242"/>
      <c r="B46" s="242" t="s">
        <v>118</v>
      </c>
      <c r="C46" s="222" t="s">
        <v>119</v>
      </c>
      <c r="D46" s="243">
        <v>10673563</v>
      </c>
      <c r="E46" s="243">
        <v>9845997.8499999996</v>
      </c>
      <c r="F46" s="243">
        <f t="shared" si="1"/>
        <v>92.246589540905873</v>
      </c>
      <c r="G46" s="243">
        <f t="shared" si="14"/>
        <v>9478540.2100000009</v>
      </c>
      <c r="H46" s="243">
        <v>2428160.63</v>
      </c>
      <c r="I46" s="243">
        <f t="shared" ref="I46:I57" si="17">-(H46+K46+J46+L46+M46+N46-E46)</f>
        <v>7050379.5800000001</v>
      </c>
      <c r="J46" s="243">
        <v>0</v>
      </c>
      <c r="K46" s="243">
        <v>367457.64</v>
      </c>
      <c r="L46" s="243">
        <v>0</v>
      </c>
      <c r="M46" s="243">
        <v>0</v>
      </c>
      <c r="N46" s="243">
        <v>0</v>
      </c>
    </row>
    <row r="47" spans="1:14" s="41" customFormat="1" ht="22.5" x14ac:dyDescent="0.2">
      <c r="A47" s="173"/>
      <c r="B47" s="173" t="s">
        <v>120</v>
      </c>
      <c r="C47" s="40" t="s">
        <v>121</v>
      </c>
      <c r="D47" s="171">
        <v>2190943</v>
      </c>
      <c r="E47" s="171">
        <v>2033892.33</v>
      </c>
      <c r="F47" s="171">
        <f t="shared" si="1"/>
        <v>92.831823100829197</v>
      </c>
      <c r="G47" s="171">
        <f t="shared" si="14"/>
        <v>1970949.72</v>
      </c>
      <c r="H47" s="171">
        <v>521636.71</v>
      </c>
      <c r="I47" s="171">
        <f t="shared" si="17"/>
        <v>1449313.01</v>
      </c>
      <c r="J47" s="171">
        <v>0</v>
      </c>
      <c r="K47" s="171">
        <v>62942.61</v>
      </c>
      <c r="L47" s="171">
        <v>0</v>
      </c>
      <c r="M47" s="171">
        <v>0</v>
      </c>
      <c r="N47" s="171">
        <v>0</v>
      </c>
    </row>
    <row r="48" spans="1:14" s="41" customFormat="1" ht="12" x14ac:dyDescent="0.2">
      <c r="A48" s="173"/>
      <c r="B48" s="173" t="s">
        <v>122</v>
      </c>
      <c r="C48" s="165" t="s">
        <v>123</v>
      </c>
      <c r="D48" s="171">
        <v>1620191</v>
      </c>
      <c r="E48" s="171">
        <v>1552429.31</v>
      </c>
      <c r="F48" s="171">
        <f t="shared" si="1"/>
        <v>95.817672731177993</v>
      </c>
      <c r="G48" s="171">
        <f>H48+I48</f>
        <v>645699.19000000006</v>
      </c>
      <c r="H48" s="171">
        <v>159307.91</v>
      </c>
      <c r="I48" s="171">
        <f t="shared" si="17"/>
        <v>486391.28</v>
      </c>
      <c r="J48" s="171">
        <v>894541.76</v>
      </c>
      <c r="K48" s="171">
        <v>12188.36</v>
      </c>
      <c r="L48" s="171">
        <v>0</v>
      </c>
      <c r="M48" s="171">
        <v>0</v>
      </c>
      <c r="N48" s="171">
        <v>0</v>
      </c>
    </row>
    <row r="49" spans="1:14" s="41" customFormat="1" ht="12" x14ac:dyDescent="0.2">
      <c r="A49" s="173"/>
      <c r="B49" s="173" t="s">
        <v>406</v>
      </c>
      <c r="C49" s="165" t="s">
        <v>156</v>
      </c>
      <c r="D49" s="171">
        <v>294732</v>
      </c>
      <c r="E49" s="171">
        <v>231449.95</v>
      </c>
      <c r="F49" s="171">
        <f t="shared" si="1"/>
        <v>78.528951725635494</v>
      </c>
      <c r="G49" s="171">
        <f>H49+I49</f>
        <v>224525.73</v>
      </c>
      <c r="H49" s="171">
        <v>33664.410000000003</v>
      </c>
      <c r="I49" s="171">
        <f t="shared" si="17"/>
        <v>190861.32</v>
      </c>
      <c r="J49" s="171">
        <v>0</v>
      </c>
      <c r="K49" s="171">
        <v>6924.22</v>
      </c>
      <c r="L49" s="171">
        <v>0</v>
      </c>
      <c r="M49" s="171">
        <v>0</v>
      </c>
      <c r="N49" s="171">
        <v>0</v>
      </c>
    </row>
    <row r="50" spans="1:14" s="41" customFormat="1" ht="12" x14ac:dyDescent="0.2">
      <c r="A50" s="173"/>
      <c r="B50" s="173" t="s">
        <v>124</v>
      </c>
      <c r="C50" s="165" t="s">
        <v>199</v>
      </c>
      <c r="D50" s="171">
        <v>265079</v>
      </c>
      <c r="E50" s="171">
        <v>259899.5</v>
      </c>
      <c r="F50" s="171">
        <f t="shared" si="1"/>
        <v>98.046054195164459</v>
      </c>
      <c r="G50" s="171">
        <f t="shared" si="14"/>
        <v>259899.5</v>
      </c>
      <c r="H50" s="171">
        <v>70454.960000000006</v>
      </c>
      <c r="I50" s="171">
        <f t="shared" si="17"/>
        <v>189444.53999999998</v>
      </c>
      <c r="J50" s="171">
        <v>0</v>
      </c>
      <c r="K50" s="171">
        <v>0</v>
      </c>
      <c r="L50" s="171">
        <v>0</v>
      </c>
      <c r="M50" s="171">
        <v>0</v>
      </c>
      <c r="N50" s="171">
        <v>0</v>
      </c>
    </row>
    <row r="51" spans="1:14" s="41" customFormat="1" ht="12" x14ac:dyDescent="0.2">
      <c r="A51" s="173"/>
      <c r="B51" s="173" t="s">
        <v>126</v>
      </c>
      <c r="C51" s="165" t="s">
        <v>127</v>
      </c>
      <c r="D51" s="171">
        <v>1605</v>
      </c>
      <c r="E51" s="171">
        <v>1540.34</v>
      </c>
      <c r="F51" s="171">
        <f t="shared" si="1"/>
        <v>95.971339563862927</v>
      </c>
      <c r="G51" s="171">
        <f t="shared" si="14"/>
        <v>1540.34</v>
      </c>
      <c r="H51" s="171">
        <v>1535.44</v>
      </c>
      <c r="I51" s="171">
        <f t="shared" si="17"/>
        <v>4.8999999999998636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</row>
    <row r="52" spans="1:14" s="41" customFormat="1" ht="22.5" x14ac:dyDescent="0.2">
      <c r="A52" s="173"/>
      <c r="B52" s="173" t="s">
        <v>128</v>
      </c>
      <c r="C52" s="40" t="s">
        <v>129</v>
      </c>
      <c r="D52" s="171">
        <v>57524</v>
      </c>
      <c r="E52" s="171">
        <v>47395.32</v>
      </c>
      <c r="F52" s="171">
        <f t="shared" si="1"/>
        <v>82.392253668034215</v>
      </c>
      <c r="G52" s="171">
        <f t="shared" si="14"/>
        <v>47395.32</v>
      </c>
      <c r="H52" s="171">
        <v>0</v>
      </c>
      <c r="I52" s="171">
        <f t="shared" si="17"/>
        <v>47395.32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</row>
    <row r="53" spans="1:14" s="41" customFormat="1" ht="12" x14ac:dyDescent="0.2">
      <c r="A53" s="173"/>
      <c r="B53" s="173" t="s">
        <v>130</v>
      </c>
      <c r="C53" s="165" t="s">
        <v>200</v>
      </c>
      <c r="D53" s="171">
        <v>415522</v>
      </c>
      <c r="E53" s="171">
        <v>389402.25</v>
      </c>
      <c r="F53" s="171">
        <f t="shared" si="1"/>
        <v>93.713991076284771</v>
      </c>
      <c r="G53" s="171">
        <f t="shared" si="14"/>
        <v>388139.18</v>
      </c>
      <c r="H53" s="171">
        <v>245724.28</v>
      </c>
      <c r="I53" s="171">
        <f t="shared" si="17"/>
        <v>142414.9</v>
      </c>
      <c r="J53" s="171">
        <v>0</v>
      </c>
      <c r="K53" s="171">
        <v>1263.07</v>
      </c>
      <c r="L53" s="171">
        <v>0</v>
      </c>
      <c r="M53" s="171">
        <v>0</v>
      </c>
      <c r="N53" s="171">
        <v>0</v>
      </c>
    </row>
    <row r="54" spans="1:14" s="41" customFormat="1" ht="78.75" x14ac:dyDescent="0.2">
      <c r="A54" s="173"/>
      <c r="B54" s="173" t="s">
        <v>131</v>
      </c>
      <c r="C54" s="40" t="s">
        <v>132</v>
      </c>
      <c r="D54" s="171">
        <v>385909</v>
      </c>
      <c r="E54" s="171">
        <v>360020.3</v>
      </c>
      <c r="F54" s="171">
        <f>E54/D54*100</f>
        <v>93.291501364311273</v>
      </c>
      <c r="G54" s="171">
        <f>H54+I54</f>
        <v>297989</v>
      </c>
      <c r="H54" s="171">
        <v>48851</v>
      </c>
      <c r="I54" s="171">
        <f>-(H54+K54+J54+L54+M54+N54-E54)</f>
        <v>249138</v>
      </c>
      <c r="J54" s="171">
        <v>47020.160000000003</v>
      </c>
      <c r="K54" s="171">
        <v>15011.14</v>
      </c>
      <c r="L54" s="171">
        <v>0</v>
      </c>
      <c r="M54" s="171">
        <v>0</v>
      </c>
      <c r="N54" s="171">
        <v>0</v>
      </c>
    </row>
    <row r="55" spans="1:14" s="41" customFormat="1" ht="106.5" customHeight="1" x14ac:dyDescent="0.2">
      <c r="A55" s="173"/>
      <c r="B55" s="173" t="s">
        <v>133</v>
      </c>
      <c r="C55" s="40" t="s">
        <v>288</v>
      </c>
      <c r="D55" s="171">
        <v>1167030</v>
      </c>
      <c r="E55" s="171">
        <v>1161267</v>
      </c>
      <c r="F55" s="171">
        <f>E55/D55*100</f>
        <v>99.506182360350635</v>
      </c>
      <c r="G55" s="171">
        <f>H55+I55</f>
        <v>1104063</v>
      </c>
      <c r="H55" s="171">
        <v>216255</v>
      </c>
      <c r="I55" s="171">
        <f>-(H55+K55+J55+L55+M55+N55-E55)</f>
        <v>887808</v>
      </c>
      <c r="J55" s="171">
        <v>0</v>
      </c>
      <c r="K55" s="171">
        <v>57204</v>
      </c>
      <c r="L55" s="171">
        <v>0</v>
      </c>
      <c r="M55" s="171">
        <v>0</v>
      </c>
      <c r="N55" s="171">
        <v>0</v>
      </c>
    </row>
    <row r="56" spans="1:14" s="41" customFormat="1" ht="56.25" x14ac:dyDescent="0.2">
      <c r="A56" s="173"/>
      <c r="B56" s="173" t="s">
        <v>321</v>
      </c>
      <c r="C56" s="40" t="s">
        <v>322</v>
      </c>
      <c r="D56" s="171">
        <v>52828.68</v>
      </c>
      <c r="E56" s="171">
        <v>50552.13</v>
      </c>
      <c r="F56" s="171">
        <f>E56/D56*100</f>
        <v>95.690693009933241</v>
      </c>
      <c r="G56" s="171">
        <f>H56+I56</f>
        <v>50552.13</v>
      </c>
      <c r="H56" s="171">
        <v>0</v>
      </c>
      <c r="I56" s="171">
        <f>-(H56+K56+J56+L56+M56+N56-E56)</f>
        <v>50552.13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</row>
    <row r="57" spans="1:14" s="41" customFormat="1" ht="12" x14ac:dyDescent="0.2">
      <c r="A57" s="173"/>
      <c r="B57" s="173" t="s">
        <v>134</v>
      </c>
      <c r="C57" s="165" t="s">
        <v>79</v>
      </c>
      <c r="D57" s="171">
        <v>514440.58</v>
      </c>
      <c r="E57" s="171">
        <v>504585.77</v>
      </c>
      <c r="F57" s="171">
        <f t="shared" si="1"/>
        <v>98.084363795717664</v>
      </c>
      <c r="G57" s="171">
        <f t="shared" si="14"/>
        <v>500442.41000000003</v>
      </c>
      <c r="H57" s="171">
        <v>0</v>
      </c>
      <c r="I57" s="171">
        <f t="shared" si="17"/>
        <v>500442.41000000003</v>
      </c>
      <c r="J57" s="171">
        <v>4143.3599999999997</v>
      </c>
      <c r="K57" s="171">
        <v>0</v>
      </c>
      <c r="L57" s="171">
        <v>0</v>
      </c>
      <c r="M57" s="171">
        <v>0</v>
      </c>
      <c r="N57" s="171">
        <v>0</v>
      </c>
    </row>
    <row r="58" spans="1:14" s="38" customFormat="1" ht="12" x14ac:dyDescent="0.2">
      <c r="A58" s="174" t="s">
        <v>53</v>
      </c>
      <c r="B58" s="174"/>
      <c r="C58" s="221" t="s">
        <v>54</v>
      </c>
      <c r="D58" s="172">
        <f>SUM(D46:D57)</f>
        <v>17639367.259999998</v>
      </c>
      <c r="E58" s="172">
        <f>SUM(E46:E57)</f>
        <v>16438432.050000001</v>
      </c>
      <c r="F58" s="172">
        <f t="shared" si="1"/>
        <v>93.191733057663001</v>
      </c>
      <c r="G58" s="172">
        <f t="shared" si="14"/>
        <v>14969735.73</v>
      </c>
      <c r="H58" s="172">
        <f t="shared" ref="H58:N58" si="18">SUM(H46:H57)</f>
        <v>3725590.34</v>
      </c>
      <c r="I58" s="172">
        <f t="shared" si="18"/>
        <v>11244145.390000001</v>
      </c>
      <c r="J58" s="172">
        <f t="shared" si="18"/>
        <v>945705.28</v>
      </c>
      <c r="K58" s="172">
        <f t="shared" si="18"/>
        <v>522991.04</v>
      </c>
      <c r="L58" s="172">
        <f t="shared" si="18"/>
        <v>0</v>
      </c>
      <c r="M58" s="172">
        <f t="shared" si="18"/>
        <v>0</v>
      </c>
      <c r="N58" s="172">
        <f t="shared" si="18"/>
        <v>0</v>
      </c>
    </row>
    <row r="59" spans="1:14" s="41" customFormat="1" ht="12" x14ac:dyDescent="0.2">
      <c r="A59" s="173"/>
      <c r="B59" s="173" t="s">
        <v>135</v>
      </c>
      <c r="C59" s="165" t="s">
        <v>136</v>
      </c>
      <c r="D59" s="171">
        <v>5000</v>
      </c>
      <c r="E59" s="171">
        <v>4999.38</v>
      </c>
      <c r="F59" s="171">
        <f t="shared" si="1"/>
        <v>99.9876</v>
      </c>
      <c r="G59" s="171">
        <f t="shared" si="14"/>
        <v>4999.38</v>
      </c>
      <c r="H59" s="171">
        <v>0</v>
      </c>
      <c r="I59" s="171">
        <f>-(H59+K59+J59+L59+M59+N59-E59)</f>
        <v>4999.38</v>
      </c>
      <c r="J59" s="171">
        <v>0</v>
      </c>
      <c r="K59" s="171">
        <v>0</v>
      </c>
      <c r="L59" s="171">
        <v>0</v>
      </c>
      <c r="M59" s="171">
        <v>0</v>
      </c>
      <c r="N59" s="171">
        <v>0</v>
      </c>
    </row>
    <row r="60" spans="1:14" s="41" customFormat="1" ht="12" x14ac:dyDescent="0.2">
      <c r="A60" s="173"/>
      <c r="B60" s="173" t="s">
        <v>137</v>
      </c>
      <c r="C60" s="165" t="s">
        <v>138</v>
      </c>
      <c r="D60" s="171">
        <v>279458.84000000003</v>
      </c>
      <c r="E60" s="171">
        <v>167215.85999999999</v>
      </c>
      <c r="F60" s="171">
        <f t="shared" si="1"/>
        <v>59.835595109462261</v>
      </c>
      <c r="G60" s="171">
        <f t="shared" si="14"/>
        <v>167215.85999999999</v>
      </c>
      <c r="H60" s="171">
        <v>31881.45</v>
      </c>
      <c r="I60" s="171">
        <f>-(H60+K60+J60+L60+M60+N60-E60)</f>
        <v>135334.40999999997</v>
      </c>
      <c r="J60" s="171">
        <v>0</v>
      </c>
      <c r="K60" s="171">
        <v>0</v>
      </c>
      <c r="L60" s="171">
        <v>0</v>
      </c>
      <c r="M60" s="171">
        <v>0</v>
      </c>
      <c r="N60" s="171">
        <v>0</v>
      </c>
    </row>
    <row r="61" spans="1:14" s="41" customFormat="1" ht="12" x14ac:dyDescent="0.2">
      <c r="A61" s="173"/>
      <c r="B61" s="173" t="s">
        <v>407</v>
      </c>
      <c r="C61" s="165" t="s">
        <v>79</v>
      </c>
      <c r="D61" s="171">
        <v>68057.509999999995</v>
      </c>
      <c r="E61" s="171">
        <v>35570.03</v>
      </c>
      <c r="F61" s="171">
        <f t="shared" si="1"/>
        <v>52.264665574747006</v>
      </c>
      <c r="G61" s="171">
        <f>I61</f>
        <v>35570.03</v>
      </c>
      <c r="H61" s="171">
        <v>0</v>
      </c>
      <c r="I61" s="171">
        <v>35570.03</v>
      </c>
      <c r="J61" s="171">
        <v>0</v>
      </c>
      <c r="K61" s="171">
        <v>0</v>
      </c>
      <c r="L61" s="171">
        <v>0</v>
      </c>
      <c r="M61" s="171">
        <v>0</v>
      </c>
      <c r="N61" s="171">
        <v>0</v>
      </c>
    </row>
    <row r="62" spans="1:14" s="38" customFormat="1" ht="12" x14ac:dyDescent="0.2">
      <c r="A62" s="174" t="s">
        <v>139</v>
      </c>
      <c r="B62" s="174"/>
      <c r="C62" s="221" t="s">
        <v>140</v>
      </c>
      <c r="D62" s="172">
        <f>SUM(D59:D61)</f>
        <v>352516.35000000003</v>
      </c>
      <c r="E62" s="172">
        <f>SUM(E59:E61)</f>
        <v>207785.27</v>
      </c>
      <c r="F62" s="172">
        <f t="shared" si="1"/>
        <v>58.943441914112626</v>
      </c>
      <c r="G62" s="172">
        <f>H62+I62</f>
        <v>207785.27</v>
      </c>
      <c r="H62" s="172">
        <f t="shared" ref="H62:N62" si="19">SUM(H59:H61)</f>
        <v>31881.45</v>
      </c>
      <c r="I62" s="172">
        <f t="shared" si="19"/>
        <v>175903.81999999998</v>
      </c>
      <c r="J62" s="172">
        <f t="shared" si="19"/>
        <v>0</v>
      </c>
      <c r="K62" s="172">
        <f t="shared" si="19"/>
        <v>0</v>
      </c>
      <c r="L62" s="172">
        <f t="shared" si="19"/>
        <v>0</v>
      </c>
      <c r="M62" s="172">
        <f t="shared" si="19"/>
        <v>0</v>
      </c>
      <c r="N62" s="172">
        <f t="shared" si="19"/>
        <v>0</v>
      </c>
    </row>
    <row r="63" spans="1:14" s="41" customFormat="1" ht="35.25" customHeight="1" x14ac:dyDescent="0.2">
      <c r="A63" s="173"/>
      <c r="B63" s="173" t="s">
        <v>142</v>
      </c>
      <c r="C63" s="40" t="s">
        <v>201</v>
      </c>
      <c r="D63" s="171">
        <v>6900</v>
      </c>
      <c r="E63" s="171">
        <v>6717.82</v>
      </c>
      <c r="F63" s="171">
        <f t="shared" si="1"/>
        <v>97.359710144927533</v>
      </c>
      <c r="G63" s="171">
        <f t="shared" ref="G63:G92" si="20">H63+I63</f>
        <v>6717.82</v>
      </c>
      <c r="H63" s="171">
        <v>0</v>
      </c>
      <c r="I63" s="171">
        <f t="shared" ref="I63:I71" si="21">-(H63+K63+J63+L63+M63+N63-E63)</f>
        <v>6717.82</v>
      </c>
      <c r="J63" s="171">
        <v>0</v>
      </c>
      <c r="K63" s="171">
        <v>0</v>
      </c>
      <c r="L63" s="171">
        <v>0</v>
      </c>
      <c r="M63" s="171">
        <v>0</v>
      </c>
      <c r="N63" s="171">
        <v>0</v>
      </c>
    </row>
    <row r="64" spans="1:14" s="41" customFormat="1" ht="84.75" customHeight="1" x14ac:dyDescent="0.2">
      <c r="A64" s="173"/>
      <c r="B64" s="173" t="s">
        <v>144</v>
      </c>
      <c r="C64" s="40" t="s">
        <v>145</v>
      </c>
      <c r="D64" s="171">
        <v>17080</v>
      </c>
      <c r="E64" s="171">
        <v>15600</v>
      </c>
      <c r="F64" s="171">
        <f t="shared" si="1"/>
        <v>91.334894613583145</v>
      </c>
      <c r="G64" s="171">
        <f t="shared" si="20"/>
        <v>15600</v>
      </c>
      <c r="H64" s="171">
        <v>0</v>
      </c>
      <c r="I64" s="171">
        <f t="shared" si="21"/>
        <v>15600</v>
      </c>
      <c r="J64" s="171">
        <v>0</v>
      </c>
      <c r="K64" s="171">
        <v>0</v>
      </c>
      <c r="L64" s="171">
        <v>0</v>
      </c>
      <c r="M64" s="171">
        <v>0</v>
      </c>
      <c r="N64" s="171">
        <v>0</v>
      </c>
    </row>
    <row r="65" spans="1:14" s="41" customFormat="1" ht="45" x14ac:dyDescent="0.2">
      <c r="A65" s="173"/>
      <c r="B65" s="173" t="s">
        <v>146</v>
      </c>
      <c r="C65" s="40" t="s">
        <v>300</v>
      </c>
      <c r="D65" s="171">
        <v>490500</v>
      </c>
      <c r="E65" s="171">
        <v>474436.77</v>
      </c>
      <c r="F65" s="171">
        <f t="shared" si="1"/>
        <v>96.725131498470944</v>
      </c>
      <c r="G65" s="171">
        <f t="shared" si="20"/>
        <v>0</v>
      </c>
      <c r="H65" s="171">
        <v>0</v>
      </c>
      <c r="I65" s="171">
        <v>0</v>
      </c>
      <c r="J65" s="171">
        <v>0</v>
      </c>
      <c r="K65" s="171">
        <f>E65</f>
        <v>474436.77</v>
      </c>
      <c r="L65" s="171">
        <v>0</v>
      </c>
      <c r="M65" s="171">
        <v>0</v>
      </c>
      <c r="N65" s="171">
        <v>0</v>
      </c>
    </row>
    <row r="66" spans="1:14" s="41" customFormat="1" ht="12" x14ac:dyDescent="0.2">
      <c r="A66" s="173"/>
      <c r="B66" s="173" t="s">
        <v>147</v>
      </c>
      <c r="C66" s="165" t="s">
        <v>148</v>
      </c>
      <c r="D66" s="171">
        <v>3500</v>
      </c>
      <c r="E66" s="171">
        <v>2107.6999999999998</v>
      </c>
      <c r="F66" s="171">
        <f t="shared" si="1"/>
        <v>60.22</v>
      </c>
      <c r="G66" s="171">
        <f t="shared" si="20"/>
        <v>0</v>
      </c>
      <c r="H66" s="171">
        <v>0</v>
      </c>
      <c r="I66" s="171">
        <v>0</v>
      </c>
      <c r="J66" s="171">
        <v>0</v>
      </c>
      <c r="K66" s="171">
        <v>2107.6999999999998</v>
      </c>
      <c r="L66" s="171">
        <v>0</v>
      </c>
      <c r="M66" s="171">
        <v>0</v>
      </c>
      <c r="N66" s="171">
        <v>0</v>
      </c>
    </row>
    <row r="67" spans="1:14" s="41" customFormat="1" ht="12" x14ac:dyDescent="0.2">
      <c r="A67" s="173"/>
      <c r="B67" s="173" t="s">
        <v>149</v>
      </c>
      <c r="C67" s="40" t="s">
        <v>150</v>
      </c>
      <c r="D67" s="171">
        <v>223369</v>
      </c>
      <c r="E67" s="171">
        <v>193594.43</v>
      </c>
      <c r="F67" s="171">
        <f t="shared" si="1"/>
        <v>86.670231768956299</v>
      </c>
      <c r="G67" s="171">
        <f t="shared" si="20"/>
        <v>0</v>
      </c>
      <c r="H67" s="263">
        <v>0</v>
      </c>
      <c r="I67" s="263">
        <f t="shared" si="21"/>
        <v>0</v>
      </c>
      <c r="J67" s="263">
        <v>1935</v>
      </c>
      <c r="K67" s="263">
        <v>191659.43</v>
      </c>
      <c r="L67" s="171">
        <v>0</v>
      </c>
      <c r="M67" s="171">
        <v>0</v>
      </c>
      <c r="N67" s="171">
        <v>0</v>
      </c>
    </row>
    <row r="68" spans="1:14" s="41" customFormat="1" ht="12" x14ac:dyDescent="0.2">
      <c r="A68" s="173"/>
      <c r="B68" s="173" t="s">
        <v>151</v>
      </c>
      <c r="C68" s="165" t="s">
        <v>152</v>
      </c>
      <c r="D68" s="171">
        <v>628540</v>
      </c>
      <c r="E68" s="171">
        <v>621540.01</v>
      </c>
      <c r="F68" s="171">
        <f t="shared" si="1"/>
        <v>98.886309542749856</v>
      </c>
      <c r="G68" s="171">
        <f t="shared" si="20"/>
        <v>620340.01</v>
      </c>
      <c r="H68" s="171">
        <v>544807.26</v>
      </c>
      <c r="I68" s="171">
        <f t="shared" si="21"/>
        <v>75532.75</v>
      </c>
      <c r="J68" s="171">
        <v>0</v>
      </c>
      <c r="K68" s="171">
        <v>1200</v>
      </c>
      <c r="L68" s="171">
        <v>0</v>
      </c>
      <c r="M68" s="171">
        <v>0</v>
      </c>
      <c r="N68" s="171">
        <v>0</v>
      </c>
    </row>
    <row r="69" spans="1:14" s="41" customFormat="1" ht="22.5" x14ac:dyDescent="0.2">
      <c r="A69" s="173"/>
      <c r="B69" s="173" t="s">
        <v>153</v>
      </c>
      <c r="C69" s="40" t="s">
        <v>154</v>
      </c>
      <c r="D69" s="171">
        <v>21746</v>
      </c>
      <c r="E69" s="171">
        <v>11374.99</v>
      </c>
      <c r="F69" s="171">
        <f>E69/D69*100</f>
        <v>52.308424537846044</v>
      </c>
      <c r="G69" s="171">
        <f>H69+I69</f>
        <v>11374.99</v>
      </c>
      <c r="H69" s="171">
        <f>E69</f>
        <v>11374.99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  <c r="N69" s="171">
        <v>0</v>
      </c>
    </row>
    <row r="70" spans="1:14" s="41" customFormat="1" ht="12" x14ac:dyDescent="0.2">
      <c r="A70" s="173"/>
      <c r="B70" s="173" t="s">
        <v>301</v>
      </c>
      <c r="C70" s="40" t="s">
        <v>302</v>
      </c>
      <c r="D70" s="171">
        <v>38900</v>
      </c>
      <c r="E70" s="171">
        <v>25131.19</v>
      </c>
      <c r="F70" s="171">
        <f>E70/D70*100</f>
        <v>64.604601542416447</v>
      </c>
      <c r="G70" s="171">
        <f>H70+I70</f>
        <v>0</v>
      </c>
      <c r="H70" s="171">
        <v>0</v>
      </c>
      <c r="I70" s="171">
        <f>-(H70+K70+J70+L70+M70+N70-E70)</f>
        <v>0</v>
      </c>
      <c r="J70" s="171">
        <v>0</v>
      </c>
      <c r="K70" s="171">
        <v>25131.19</v>
      </c>
      <c r="L70" s="171">
        <v>0</v>
      </c>
      <c r="M70" s="171">
        <v>0</v>
      </c>
      <c r="N70" s="171">
        <v>0</v>
      </c>
    </row>
    <row r="71" spans="1:14" s="41" customFormat="1" ht="12" x14ac:dyDescent="0.2">
      <c r="A71" s="173"/>
      <c r="B71" s="173" t="s">
        <v>155</v>
      </c>
      <c r="C71" s="165" t="s">
        <v>79</v>
      </c>
      <c r="D71" s="171">
        <v>5211715</v>
      </c>
      <c r="E71" s="171">
        <v>4800932.95</v>
      </c>
      <c r="F71" s="171">
        <f t="shared" ref="F71:F103" si="22">E71/D71*100</f>
        <v>92.11810219860449</v>
      </c>
      <c r="G71" s="171">
        <f t="shared" si="20"/>
        <v>76240.350000000413</v>
      </c>
      <c r="H71" s="171">
        <v>56635.66</v>
      </c>
      <c r="I71" s="171">
        <f t="shared" si="21"/>
        <v>19604.69000000041</v>
      </c>
      <c r="J71" s="171">
        <v>0</v>
      </c>
      <c r="K71" s="171">
        <v>4724692.5999999996</v>
      </c>
      <c r="L71" s="171">
        <v>0</v>
      </c>
      <c r="M71" s="171">
        <v>0</v>
      </c>
      <c r="N71" s="171">
        <v>0</v>
      </c>
    </row>
    <row r="72" spans="1:14" s="38" customFormat="1" ht="12" x14ac:dyDescent="0.2">
      <c r="A72" s="174" t="s">
        <v>57</v>
      </c>
      <c r="B72" s="174"/>
      <c r="C72" s="221" t="s">
        <v>58</v>
      </c>
      <c r="D72" s="172">
        <f>SUM(D63:D71)</f>
        <v>6642250</v>
      </c>
      <c r="E72" s="172">
        <f>SUM(E63:E71)</f>
        <v>6151435.8600000003</v>
      </c>
      <c r="F72" s="172">
        <f t="shared" si="22"/>
        <v>92.610724679137348</v>
      </c>
      <c r="G72" s="172">
        <f>H72+I72</f>
        <v>730273.17000000039</v>
      </c>
      <c r="H72" s="172">
        <f>SUM(H63:H71)</f>
        <v>612817.91</v>
      </c>
      <c r="I72" s="172">
        <f t="shared" ref="I72:N72" si="23">SUM(I63:I71)</f>
        <v>117455.26000000042</v>
      </c>
      <c r="J72" s="172">
        <f t="shared" si="23"/>
        <v>1935</v>
      </c>
      <c r="K72" s="172">
        <f t="shared" si="23"/>
        <v>5419227.6899999995</v>
      </c>
      <c r="L72" s="172">
        <f t="shared" si="23"/>
        <v>0</v>
      </c>
      <c r="M72" s="172">
        <f t="shared" si="23"/>
        <v>0</v>
      </c>
      <c r="N72" s="172">
        <f t="shared" si="23"/>
        <v>0</v>
      </c>
    </row>
    <row r="73" spans="1:14" s="41" customFormat="1" ht="12" x14ac:dyDescent="0.2">
      <c r="A73" s="173"/>
      <c r="B73" s="173" t="s">
        <v>445</v>
      </c>
      <c r="C73" s="165" t="s">
        <v>446</v>
      </c>
      <c r="D73" s="171">
        <v>1500</v>
      </c>
      <c r="E73" s="171">
        <v>1500</v>
      </c>
      <c r="F73" s="171">
        <f>E73/D73*100</f>
        <v>100</v>
      </c>
      <c r="G73" s="171">
        <f>H73+I73</f>
        <v>1500</v>
      </c>
      <c r="H73" s="171">
        <v>1500</v>
      </c>
      <c r="I73" s="171">
        <v>0</v>
      </c>
      <c r="J73" s="171">
        <v>0</v>
      </c>
      <c r="K73" s="171">
        <v>0</v>
      </c>
      <c r="L73" s="171">
        <v>0</v>
      </c>
      <c r="M73" s="171">
        <v>0</v>
      </c>
      <c r="N73" s="171">
        <v>0</v>
      </c>
    </row>
    <row r="74" spans="1:14" s="38" customFormat="1" ht="22.5" x14ac:dyDescent="0.2">
      <c r="A74" s="174" t="s">
        <v>393</v>
      </c>
      <c r="B74" s="174"/>
      <c r="C74" s="39" t="s">
        <v>408</v>
      </c>
      <c r="D74" s="172">
        <f>D73</f>
        <v>1500</v>
      </c>
      <c r="E74" s="172">
        <f>E73</f>
        <v>1500</v>
      </c>
      <c r="F74" s="172">
        <f>E74/D74*100</f>
        <v>100</v>
      </c>
      <c r="G74" s="172">
        <f t="shared" ref="G74:N74" si="24">G73</f>
        <v>1500</v>
      </c>
      <c r="H74" s="172">
        <f t="shared" si="24"/>
        <v>1500</v>
      </c>
      <c r="I74" s="172">
        <f t="shared" si="24"/>
        <v>0</v>
      </c>
      <c r="J74" s="172">
        <f t="shared" si="24"/>
        <v>0</v>
      </c>
      <c r="K74" s="172">
        <f t="shared" si="24"/>
        <v>0</v>
      </c>
      <c r="L74" s="172">
        <f t="shared" si="24"/>
        <v>0</v>
      </c>
      <c r="M74" s="172">
        <f t="shared" si="24"/>
        <v>0</v>
      </c>
      <c r="N74" s="172">
        <f t="shared" si="24"/>
        <v>0</v>
      </c>
    </row>
    <row r="75" spans="1:14" s="41" customFormat="1" ht="22.5" x14ac:dyDescent="0.2">
      <c r="A75" s="173"/>
      <c r="B75" s="173" t="s">
        <v>157</v>
      </c>
      <c r="C75" s="40" t="s">
        <v>303</v>
      </c>
      <c r="D75" s="171">
        <v>94315</v>
      </c>
      <c r="E75" s="171">
        <v>34076.300000000003</v>
      </c>
      <c r="F75" s="171">
        <f t="shared" si="22"/>
        <v>36.130308010390713</v>
      </c>
      <c r="G75" s="171">
        <f t="shared" si="20"/>
        <v>102.20000000000437</v>
      </c>
      <c r="H75" s="171">
        <v>0</v>
      </c>
      <c r="I75" s="171">
        <f>-(H75+K75+J75+L75+M75+N75-E75)</f>
        <v>102.20000000000437</v>
      </c>
      <c r="J75" s="171">
        <v>0</v>
      </c>
      <c r="K75" s="171">
        <v>33974.1</v>
      </c>
      <c r="L75" s="171">
        <v>0</v>
      </c>
      <c r="M75" s="171">
        <v>0</v>
      </c>
      <c r="N75" s="171">
        <v>0</v>
      </c>
    </row>
    <row r="76" spans="1:14" s="41" customFormat="1" ht="22.5" x14ac:dyDescent="0.2">
      <c r="A76" s="173"/>
      <c r="B76" s="173" t="s">
        <v>158</v>
      </c>
      <c r="C76" s="40" t="s">
        <v>129</v>
      </c>
      <c r="D76" s="171">
        <v>2116</v>
      </c>
      <c r="E76" s="171">
        <v>1146</v>
      </c>
      <c r="F76" s="171">
        <f t="shared" si="22"/>
        <v>54.15879017013232</v>
      </c>
      <c r="G76" s="171">
        <f t="shared" si="20"/>
        <v>1146</v>
      </c>
      <c r="H76" s="171">
        <v>0</v>
      </c>
      <c r="I76" s="171">
        <f>-(H76+K76+J76+L76+M76+N76-E76)</f>
        <v>1146</v>
      </c>
      <c r="J76" s="171">
        <v>0</v>
      </c>
      <c r="K76" s="171">
        <v>0</v>
      </c>
      <c r="L76" s="171">
        <v>0</v>
      </c>
      <c r="M76" s="171">
        <v>0</v>
      </c>
      <c r="N76" s="171">
        <v>0</v>
      </c>
    </row>
    <row r="77" spans="1:14" s="41" customFormat="1" ht="12" x14ac:dyDescent="0.2">
      <c r="A77" s="173"/>
      <c r="B77" s="173" t="s">
        <v>159</v>
      </c>
      <c r="C77" s="165" t="s">
        <v>79</v>
      </c>
      <c r="D77" s="171">
        <v>1500</v>
      </c>
      <c r="E77" s="171">
        <v>1500</v>
      </c>
      <c r="F77" s="171">
        <f t="shared" si="22"/>
        <v>100</v>
      </c>
      <c r="G77" s="171">
        <f t="shared" si="20"/>
        <v>1500</v>
      </c>
      <c r="H77" s="171">
        <v>0</v>
      </c>
      <c r="I77" s="171">
        <f>-(H77+K77+J77+L77+M77+N77-E77)</f>
        <v>1500</v>
      </c>
      <c r="J77" s="171">
        <v>0</v>
      </c>
      <c r="K77" s="171">
        <v>0</v>
      </c>
      <c r="L77" s="171">
        <v>0</v>
      </c>
      <c r="M77" s="171">
        <v>0</v>
      </c>
      <c r="N77" s="171">
        <v>0</v>
      </c>
    </row>
    <row r="78" spans="1:14" s="38" customFormat="1" ht="22.5" x14ac:dyDescent="0.2">
      <c r="A78" s="244" t="s">
        <v>59</v>
      </c>
      <c r="B78" s="244"/>
      <c r="C78" s="42" t="s">
        <v>60</v>
      </c>
      <c r="D78" s="245">
        <f>SUM(D75:D77)</f>
        <v>97931</v>
      </c>
      <c r="E78" s="245">
        <f>SUM(E75:E77)</f>
        <v>36722.300000000003</v>
      </c>
      <c r="F78" s="245">
        <f t="shared" si="22"/>
        <v>37.498136443005791</v>
      </c>
      <c r="G78" s="245">
        <f t="shared" si="20"/>
        <v>2748.2000000000044</v>
      </c>
      <c r="H78" s="245">
        <f t="shared" ref="H78:N78" si="25">SUM(H75:H77)</f>
        <v>0</v>
      </c>
      <c r="I78" s="245">
        <f t="shared" si="25"/>
        <v>2748.2000000000044</v>
      </c>
      <c r="J78" s="245">
        <f t="shared" si="25"/>
        <v>0</v>
      </c>
      <c r="K78" s="245">
        <f t="shared" si="25"/>
        <v>33974.1</v>
      </c>
      <c r="L78" s="245">
        <f t="shared" si="25"/>
        <v>0</v>
      </c>
      <c r="M78" s="245">
        <f t="shared" si="25"/>
        <v>0</v>
      </c>
      <c r="N78" s="245">
        <f t="shared" si="25"/>
        <v>0</v>
      </c>
    </row>
    <row r="79" spans="1:14" s="224" customFormat="1" ht="12" x14ac:dyDescent="0.2">
      <c r="A79" s="173"/>
      <c r="B79" s="173" t="s">
        <v>293</v>
      </c>
      <c r="C79" s="165" t="s">
        <v>266</v>
      </c>
      <c r="D79" s="171">
        <v>2732156</v>
      </c>
      <c r="E79" s="171">
        <v>2730972.3</v>
      </c>
      <c r="F79" s="171">
        <f t="shared" si="22"/>
        <v>99.956675241091645</v>
      </c>
      <c r="G79" s="171">
        <f t="shared" si="20"/>
        <v>9653.6999999996096</v>
      </c>
      <c r="H79" s="263">
        <f>5370+2528.16+976.92+121.79</f>
        <v>8996.8700000000008</v>
      </c>
      <c r="I79" s="263">
        <f>-(H79+K79+J79+L79+M79+N79-E79)</f>
        <v>656.82999999960884</v>
      </c>
      <c r="J79" s="171">
        <v>3361</v>
      </c>
      <c r="K79" s="263">
        <v>2717957.6</v>
      </c>
      <c r="L79" s="171">
        <v>0</v>
      </c>
      <c r="M79" s="171">
        <v>0</v>
      </c>
      <c r="N79" s="171">
        <v>0</v>
      </c>
    </row>
    <row r="80" spans="1:14" s="224" customFormat="1" ht="67.5" x14ac:dyDescent="0.2">
      <c r="A80" s="173"/>
      <c r="B80" s="173" t="s">
        <v>294</v>
      </c>
      <c r="C80" s="40" t="s">
        <v>306</v>
      </c>
      <c r="D80" s="171">
        <v>1629789</v>
      </c>
      <c r="E80" s="171">
        <v>1629049.97</v>
      </c>
      <c r="F80" s="171">
        <f t="shared" si="22"/>
        <v>99.954654866366127</v>
      </c>
      <c r="G80" s="171">
        <f t="shared" si="20"/>
        <v>136582.54</v>
      </c>
      <c r="H80" s="171">
        <f>39144.45+3831.71+90866.61+1051.29+1662.97</f>
        <v>136557.03</v>
      </c>
      <c r="I80" s="171">
        <f t="shared" ref="I80:I85" si="26">-(H80+K80+J80+L80+M80+N80-E80)</f>
        <v>25.510000000009313</v>
      </c>
      <c r="J80" s="171">
        <v>3669.46</v>
      </c>
      <c r="K80" s="171">
        <v>1488797.97</v>
      </c>
      <c r="L80" s="171">
        <v>0</v>
      </c>
      <c r="M80" s="171">
        <v>0</v>
      </c>
      <c r="N80" s="171">
        <v>0</v>
      </c>
    </row>
    <row r="81" spans="1:14" s="224" customFormat="1" ht="12" x14ac:dyDescent="0.2">
      <c r="A81" s="173"/>
      <c r="B81" s="173" t="s">
        <v>295</v>
      </c>
      <c r="C81" s="165" t="s">
        <v>297</v>
      </c>
      <c r="D81" s="171">
        <v>601</v>
      </c>
      <c r="E81" s="171">
        <v>601</v>
      </c>
      <c r="F81" s="171">
        <f t="shared" si="22"/>
        <v>100</v>
      </c>
      <c r="G81" s="171">
        <f t="shared" si="20"/>
        <v>601</v>
      </c>
      <c r="H81" s="171">
        <f>E81-I81</f>
        <v>522.46</v>
      </c>
      <c r="I81" s="171">
        <v>78.540000000000006</v>
      </c>
      <c r="J81" s="171">
        <v>0</v>
      </c>
      <c r="K81" s="171">
        <v>0</v>
      </c>
      <c r="L81" s="171">
        <v>0</v>
      </c>
      <c r="M81" s="171">
        <v>0</v>
      </c>
      <c r="N81" s="171">
        <v>0</v>
      </c>
    </row>
    <row r="82" spans="1:14" s="224" customFormat="1" ht="12" x14ac:dyDescent="0.2">
      <c r="A82" s="173"/>
      <c r="B82" s="173" t="s">
        <v>304</v>
      </c>
      <c r="C82" s="165" t="s">
        <v>143</v>
      </c>
      <c r="D82" s="171">
        <v>41205</v>
      </c>
      <c r="E82" s="171">
        <v>32456.45</v>
      </c>
      <c r="F82" s="171">
        <f t="shared" si="22"/>
        <v>78.768232010678318</v>
      </c>
      <c r="G82" s="171">
        <f t="shared" si="20"/>
        <v>32456.45</v>
      </c>
      <c r="H82" s="171">
        <f>E82-I82</f>
        <v>32336.45</v>
      </c>
      <c r="I82" s="171">
        <v>120</v>
      </c>
      <c r="J82" s="171">
        <v>0</v>
      </c>
      <c r="K82" s="171">
        <v>0</v>
      </c>
      <c r="L82" s="171">
        <v>0</v>
      </c>
      <c r="M82" s="171">
        <v>0</v>
      </c>
      <c r="N82" s="171">
        <v>0</v>
      </c>
    </row>
    <row r="83" spans="1:14" s="224" customFormat="1" ht="12" x14ac:dyDescent="0.2">
      <c r="A83" s="173"/>
      <c r="B83" s="173" t="s">
        <v>305</v>
      </c>
      <c r="C83" s="165" t="s">
        <v>141</v>
      </c>
      <c r="D83" s="171">
        <v>19695</v>
      </c>
      <c r="E83" s="171">
        <v>13055.72</v>
      </c>
      <c r="F83" s="171">
        <f t="shared" si="22"/>
        <v>66.289515105356685</v>
      </c>
      <c r="G83" s="171">
        <f t="shared" si="20"/>
        <v>13055.72</v>
      </c>
      <c r="H83" s="171">
        <v>0</v>
      </c>
      <c r="I83" s="171">
        <f t="shared" si="26"/>
        <v>13055.72</v>
      </c>
      <c r="J83" s="171">
        <v>0</v>
      </c>
      <c r="K83" s="171">
        <v>0</v>
      </c>
      <c r="L83" s="171">
        <v>0</v>
      </c>
      <c r="M83" s="171">
        <v>0</v>
      </c>
      <c r="N83" s="171">
        <v>0</v>
      </c>
    </row>
    <row r="84" spans="1:14" s="224" customFormat="1" ht="22.5" x14ac:dyDescent="0.2">
      <c r="A84" s="175"/>
      <c r="B84" s="175" t="s">
        <v>409</v>
      </c>
      <c r="C84" s="40" t="s">
        <v>410</v>
      </c>
      <c r="D84" s="225">
        <v>94800</v>
      </c>
      <c r="E84" s="225">
        <v>83905.66</v>
      </c>
      <c r="F84" s="225">
        <f t="shared" si="22"/>
        <v>88.508080168776374</v>
      </c>
      <c r="G84" s="171">
        <f>H84+I84</f>
        <v>83905.66</v>
      </c>
      <c r="H84" s="171">
        <v>0</v>
      </c>
      <c r="I84" s="171">
        <f>E84</f>
        <v>83905.66</v>
      </c>
      <c r="J84" s="171">
        <v>0</v>
      </c>
      <c r="K84" s="171">
        <v>0</v>
      </c>
      <c r="L84" s="171">
        <v>0</v>
      </c>
      <c r="M84" s="171">
        <v>0</v>
      </c>
      <c r="N84" s="171">
        <v>0</v>
      </c>
    </row>
    <row r="85" spans="1:14" s="224" customFormat="1" ht="118.5" customHeight="1" x14ac:dyDescent="0.2">
      <c r="A85" s="175"/>
      <c r="B85" s="175" t="s">
        <v>323</v>
      </c>
      <c r="C85" s="40" t="s">
        <v>324</v>
      </c>
      <c r="D85" s="225">
        <v>15958</v>
      </c>
      <c r="E85" s="225">
        <v>15958</v>
      </c>
      <c r="F85" s="225">
        <f t="shared" si="22"/>
        <v>100</v>
      </c>
      <c r="G85" s="171">
        <f t="shared" si="20"/>
        <v>15958</v>
      </c>
      <c r="H85" s="171">
        <v>0</v>
      </c>
      <c r="I85" s="171">
        <f t="shared" si="26"/>
        <v>15958</v>
      </c>
      <c r="J85" s="171">
        <v>0</v>
      </c>
      <c r="K85" s="171">
        <v>0</v>
      </c>
      <c r="L85" s="171">
        <v>0</v>
      </c>
      <c r="M85" s="171">
        <v>0</v>
      </c>
      <c r="N85" s="171">
        <v>0</v>
      </c>
    </row>
    <row r="86" spans="1:14" s="38" customFormat="1" ht="12" x14ac:dyDescent="0.2">
      <c r="A86" s="174" t="s">
        <v>291</v>
      </c>
      <c r="B86" s="174"/>
      <c r="C86" s="39" t="s">
        <v>292</v>
      </c>
      <c r="D86" s="172">
        <f>SUM(D79:D85)</f>
        <v>4534204</v>
      </c>
      <c r="E86" s="172">
        <f>SUM(E79:E85)</f>
        <v>4505999.0999999996</v>
      </c>
      <c r="F86" s="172">
        <f t="shared" si="22"/>
        <v>99.377952557935188</v>
      </c>
      <c r="G86" s="172">
        <f t="shared" si="20"/>
        <v>292213.0699999996</v>
      </c>
      <c r="H86" s="172">
        <f>SUM(H79:H85)</f>
        <v>178412.81</v>
      </c>
      <c r="I86" s="172">
        <f>SUM(I79:I85)</f>
        <v>113800.25999999962</v>
      </c>
      <c r="J86" s="172">
        <f>SUM(J79:J85)</f>
        <v>7030.46</v>
      </c>
      <c r="K86" s="172">
        <f>SUM(K79:K85)</f>
        <v>4206755.57</v>
      </c>
      <c r="L86" s="172">
        <f>SUM(L79:L83)</f>
        <v>0</v>
      </c>
      <c r="M86" s="172">
        <f>SUM(M79:M83)</f>
        <v>0</v>
      </c>
      <c r="N86" s="172">
        <f>SUM(N79:N83)</f>
        <v>0</v>
      </c>
    </row>
    <row r="87" spans="1:14" s="224" customFormat="1" ht="12" x14ac:dyDescent="0.2">
      <c r="A87" s="173"/>
      <c r="B87" s="173" t="s">
        <v>160</v>
      </c>
      <c r="C87" s="165" t="s">
        <v>161</v>
      </c>
      <c r="D87" s="171">
        <v>434200</v>
      </c>
      <c r="E87" s="171">
        <v>324670.06</v>
      </c>
      <c r="F87" s="171">
        <f t="shared" si="22"/>
        <v>74.77431137724551</v>
      </c>
      <c r="G87" s="171">
        <f t="shared" si="20"/>
        <v>324670.06</v>
      </c>
      <c r="H87" s="171">
        <v>0</v>
      </c>
      <c r="I87" s="171">
        <f t="shared" ref="I87:I93" si="27">-(H87+K87+J87+L87+M87+N87-E87)</f>
        <v>324670.06</v>
      </c>
      <c r="J87" s="171">
        <v>0</v>
      </c>
      <c r="K87" s="171">
        <v>0</v>
      </c>
      <c r="L87" s="171">
        <v>0</v>
      </c>
      <c r="M87" s="171">
        <v>0</v>
      </c>
      <c r="N87" s="171">
        <v>0</v>
      </c>
    </row>
    <row r="88" spans="1:14" s="224" customFormat="1" ht="22.5" x14ac:dyDescent="0.2">
      <c r="A88" s="173"/>
      <c r="B88" s="173" t="s">
        <v>162</v>
      </c>
      <c r="C88" s="40" t="s">
        <v>163</v>
      </c>
      <c r="D88" s="171">
        <v>60375.24</v>
      </c>
      <c r="E88" s="171">
        <v>54251.3</v>
      </c>
      <c r="F88" s="171">
        <f t="shared" si="22"/>
        <v>89.856868477872723</v>
      </c>
      <c r="G88" s="171">
        <f t="shared" si="20"/>
        <v>54251.3</v>
      </c>
      <c r="H88" s="171">
        <v>0</v>
      </c>
      <c r="I88" s="171">
        <f t="shared" si="27"/>
        <v>54251.3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</row>
    <row r="89" spans="1:14" s="224" customFormat="1" ht="22.5" x14ac:dyDescent="0.2">
      <c r="A89" s="173"/>
      <c r="B89" s="173" t="s">
        <v>374</v>
      </c>
      <c r="C89" s="40" t="s">
        <v>378</v>
      </c>
      <c r="D89" s="171">
        <v>45155</v>
      </c>
      <c r="E89" s="171">
        <v>43299.06</v>
      </c>
      <c r="F89" s="171">
        <f t="shared" si="22"/>
        <v>95.889846085704789</v>
      </c>
      <c r="G89" s="171">
        <f t="shared" si="20"/>
        <v>43299.06</v>
      </c>
      <c r="H89" s="171">
        <v>0</v>
      </c>
      <c r="I89" s="171">
        <f t="shared" si="27"/>
        <v>43299.06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</row>
    <row r="90" spans="1:14" s="224" customFormat="1" ht="12" x14ac:dyDescent="0.2">
      <c r="A90" s="173"/>
      <c r="B90" s="173" t="s">
        <v>164</v>
      </c>
      <c r="C90" s="40" t="s">
        <v>165</v>
      </c>
      <c r="D90" s="171">
        <v>1353384</v>
      </c>
      <c r="E90" s="171">
        <v>873965.5</v>
      </c>
      <c r="F90" s="171">
        <f t="shared" si="22"/>
        <v>64.576313891696671</v>
      </c>
      <c r="G90" s="171">
        <f t="shared" si="20"/>
        <v>873965.5</v>
      </c>
      <c r="H90" s="171">
        <v>0</v>
      </c>
      <c r="I90" s="171">
        <f>E90</f>
        <v>873965.5</v>
      </c>
      <c r="J90" s="171">
        <v>0</v>
      </c>
      <c r="K90" s="171">
        <v>0</v>
      </c>
      <c r="L90" s="171">
        <v>0</v>
      </c>
      <c r="M90" s="171">
        <v>0</v>
      </c>
      <c r="N90" s="171">
        <v>0</v>
      </c>
    </row>
    <row r="91" spans="1:14" s="44" customFormat="1" ht="33.75" x14ac:dyDescent="0.2">
      <c r="A91" s="173"/>
      <c r="B91" s="173" t="s">
        <v>327</v>
      </c>
      <c r="C91" s="40" t="s">
        <v>329</v>
      </c>
      <c r="D91" s="171">
        <v>6000</v>
      </c>
      <c r="E91" s="171">
        <v>3692</v>
      </c>
      <c r="F91" s="171">
        <f t="shared" si="22"/>
        <v>61.533333333333331</v>
      </c>
      <c r="G91" s="171">
        <f t="shared" si="20"/>
        <v>3692</v>
      </c>
      <c r="H91" s="171">
        <v>0</v>
      </c>
      <c r="I91" s="171">
        <f t="shared" si="27"/>
        <v>3692</v>
      </c>
      <c r="J91" s="171">
        <v>0</v>
      </c>
      <c r="K91" s="171">
        <v>0</v>
      </c>
      <c r="L91" s="171">
        <v>0</v>
      </c>
      <c r="M91" s="171">
        <v>0</v>
      </c>
      <c r="N91" s="171">
        <v>0</v>
      </c>
    </row>
    <row r="92" spans="1:14" s="44" customFormat="1" ht="22.5" x14ac:dyDescent="0.2">
      <c r="A92" s="173"/>
      <c r="B92" s="173" t="s">
        <v>376</v>
      </c>
      <c r="C92" s="40" t="s">
        <v>377</v>
      </c>
      <c r="D92" s="171">
        <v>10088</v>
      </c>
      <c r="E92" s="171">
        <v>9968</v>
      </c>
      <c r="F92" s="171">
        <f t="shared" si="22"/>
        <v>98.810467882632835</v>
      </c>
      <c r="G92" s="171">
        <f t="shared" si="20"/>
        <v>9968</v>
      </c>
      <c r="H92" s="171">
        <v>0</v>
      </c>
      <c r="I92" s="171">
        <f t="shared" si="27"/>
        <v>9968</v>
      </c>
      <c r="J92" s="171">
        <v>0</v>
      </c>
      <c r="K92" s="171">
        <v>0</v>
      </c>
      <c r="L92" s="171">
        <v>0</v>
      </c>
      <c r="M92" s="171">
        <v>0</v>
      </c>
      <c r="N92" s="171">
        <v>0</v>
      </c>
    </row>
    <row r="93" spans="1:14" s="44" customFormat="1" ht="12" x14ac:dyDescent="0.2">
      <c r="A93" s="173"/>
      <c r="B93" s="173" t="s">
        <v>166</v>
      </c>
      <c r="C93" s="165" t="s">
        <v>79</v>
      </c>
      <c r="D93" s="171">
        <v>54000</v>
      </c>
      <c r="E93" s="171">
        <v>46927.989999999991</v>
      </c>
      <c r="F93" s="171">
        <f t="shared" si="22"/>
        <v>86.903685185185168</v>
      </c>
      <c r="G93" s="171">
        <f t="shared" ref="G93:G98" si="28">H93+I93</f>
        <v>46927.989999999991</v>
      </c>
      <c r="H93" s="171">
        <v>0</v>
      </c>
      <c r="I93" s="171">
        <f t="shared" si="27"/>
        <v>46927.989999999991</v>
      </c>
      <c r="J93" s="171">
        <v>0</v>
      </c>
      <c r="K93" s="171">
        <v>0</v>
      </c>
      <c r="L93" s="171">
        <v>0</v>
      </c>
      <c r="M93" s="171">
        <v>0</v>
      </c>
      <c r="N93" s="171">
        <v>0</v>
      </c>
    </row>
    <row r="94" spans="1:14" s="43" customFormat="1" ht="22.5" x14ac:dyDescent="0.2">
      <c r="A94" s="174" t="s">
        <v>61</v>
      </c>
      <c r="B94" s="174"/>
      <c r="C94" s="39" t="s">
        <v>202</v>
      </c>
      <c r="D94" s="172">
        <f>SUM(D87:D93)</f>
        <v>1963202.24</v>
      </c>
      <c r="E94" s="172">
        <f>SUM(E87:E93)</f>
        <v>1356773.91</v>
      </c>
      <c r="F94" s="172">
        <f t="shared" si="22"/>
        <v>69.110246634600415</v>
      </c>
      <c r="G94" s="172">
        <f t="shared" si="28"/>
        <v>1356773.91</v>
      </c>
      <c r="H94" s="172">
        <f t="shared" ref="H94:N94" si="29">SUM(H87:H93)</f>
        <v>0</v>
      </c>
      <c r="I94" s="172">
        <f t="shared" si="29"/>
        <v>1356773.91</v>
      </c>
      <c r="J94" s="172">
        <f t="shared" si="29"/>
        <v>0</v>
      </c>
      <c r="K94" s="172">
        <f t="shared" si="29"/>
        <v>0</v>
      </c>
      <c r="L94" s="172">
        <f t="shared" si="29"/>
        <v>0</v>
      </c>
      <c r="M94" s="172">
        <f t="shared" si="29"/>
        <v>0</v>
      </c>
      <c r="N94" s="172">
        <f t="shared" si="29"/>
        <v>0</v>
      </c>
    </row>
    <row r="95" spans="1:14" s="44" customFormat="1" ht="10.9" customHeight="1" x14ac:dyDescent="0.2">
      <c r="A95" s="173"/>
      <c r="B95" s="173" t="s">
        <v>276</v>
      </c>
      <c r="C95" s="40" t="s">
        <v>287</v>
      </c>
      <c r="D95" s="171">
        <v>25000</v>
      </c>
      <c r="E95" s="171">
        <v>25000</v>
      </c>
      <c r="F95" s="171">
        <f>E95/D95*100</f>
        <v>100</v>
      </c>
      <c r="G95" s="171">
        <f t="shared" si="28"/>
        <v>0</v>
      </c>
      <c r="H95" s="171">
        <v>0</v>
      </c>
      <c r="I95" s="171">
        <f>-(H95+K95+J95+L95+M95+N95-E95)</f>
        <v>0</v>
      </c>
      <c r="J95" s="171">
        <v>25000</v>
      </c>
      <c r="K95" s="171">
        <v>0</v>
      </c>
      <c r="L95" s="171">
        <v>0</v>
      </c>
      <c r="M95" s="171">
        <v>0</v>
      </c>
      <c r="N95" s="171">
        <v>0</v>
      </c>
    </row>
    <row r="96" spans="1:14" s="44" customFormat="1" ht="12" x14ac:dyDescent="0.2">
      <c r="A96" s="173"/>
      <c r="B96" s="173" t="s">
        <v>167</v>
      </c>
      <c r="C96" s="165" t="s">
        <v>168</v>
      </c>
      <c r="D96" s="171">
        <v>380584</v>
      </c>
      <c r="E96" s="171">
        <v>355125.93</v>
      </c>
      <c r="F96" s="171">
        <f t="shared" si="22"/>
        <v>93.310788157147968</v>
      </c>
      <c r="G96" s="171">
        <f t="shared" si="28"/>
        <v>0</v>
      </c>
      <c r="H96" s="171">
        <v>0</v>
      </c>
      <c r="I96" s="171">
        <f>-(H96+K96+J96+L96+M96+N96-E96)</f>
        <v>0</v>
      </c>
      <c r="J96" s="171">
        <f>E96</f>
        <v>355125.93</v>
      </c>
      <c r="K96" s="171">
        <v>0</v>
      </c>
      <c r="L96" s="171">
        <v>0</v>
      </c>
      <c r="M96" s="171">
        <v>0</v>
      </c>
      <c r="N96" s="171">
        <v>0</v>
      </c>
    </row>
    <row r="97" spans="1:16" s="44" customFormat="1" ht="21.75" customHeight="1" x14ac:dyDescent="0.2">
      <c r="A97" s="173"/>
      <c r="B97" s="173" t="s">
        <v>169</v>
      </c>
      <c r="C97" s="40" t="s">
        <v>170</v>
      </c>
      <c r="D97" s="171">
        <v>10000</v>
      </c>
      <c r="E97" s="171">
        <v>3512</v>
      </c>
      <c r="F97" s="171">
        <f t="shared" si="22"/>
        <v>35.120000000000005</v>
      </c>
      <c r="G97" s="171">
        <f t="shared" si="28"/>
        <v>3512</v>
      </c>
      <c r="H97" s="171">
        <v>0</v>
      </c>
      <c r="I97" s="171">
        <f>-(H97+K97+J97+L97+M97+N97-E97)</f>
        <v>3512</v>
      </c>
      <c r="J97" s="171">
        <v>0</v>
      </c>
      <c r="K97" s="171">
        <v>0</v>
      </c>
      <c r="L97" s="171">
        <v>0</v>
      </c>
      <c r="M97" s="171">
        <v>0</v>
      </c>
      <c r="N97" s="171">
        <v>0</v>
      </c>
    </row>
    <row r="98" spans="1:16" s="44" customFormat="1" ht="12" x14ac:dyDescent="0.2">
      <c r="A98" s="173"/>
      <c r="B98" s="173" t="s">
        <v>171</v>
      </c>
      <c r="C98" s="40" t="s">
        <v>79</v>
      </c>
      <c r="D98" s="171">
        <v>44000</v>
      </c>
      <c r="E98" s="171">
        <v>36000</v>
      </c>
      <c r="F98" s="171">
        <f t="shared" si="22"/>
        <v>81.818181818181827</v>
      </c>
      <c r="G98" s="171">
        <f t="shared" si="28"/>
        <v>0</v>
      </c>
      <c r="H98" s="171">
        <v>0</v>
      </c>
      <c r="I98" s="171">
        <f>-(H98+K98+J98+L98+M98+N98-E98)</f>
        <v>0</v>
      </c>
      <c r="J98" s="171">
        <v>36000</v>
      </c>
      <c r="K98" s="171">
        <v>0</v>
      </c>
      <c r="L98" s="171">
        <v>0</v>
      </c>
      <c r="M98" s="171">
        <v>0</v>
      </c>
      <c r="N98" s="171">
        <v>0</v>
      </c>
    </row>
    <row r="99" spans="1:16" s="43" customFormat="1" ht="22.5" x14ac:dyDescent="0.2">
      <c r="A99" s="174" t="s">
        <v>172</v>
      </c>
      <c r="B99" s="174"/>
      <c r="C99" s="39" t="s">
        <v>203</v>
      </c>
      <c r="D99" s="172">
        <f>SUM(D95:D98)</f>
        <v>459584</v>
      </c>
      <c r="E99" s="172">
        <f>SUM(E95:E98)</f>
        <v>419637.93</v>
      </c>
      <c r="F99" s="172">
        <f t="shared" si="22"/>
        <v>91.308211338950002</v>
      </c>
      <c r="G99" s="172">
        <f t="shared" ref="G99:N99" si="30">SUM(G95:G98)</f>
        <v>3512</v>
      </c>
      <c r="H99" s="172">
        <f t="shared" si="30"/>
        <v>0</v>
      </c>
      <c r="I99" s="172">
        <f t="shared" si="30"/>
        <v>3512</v>
      </c>
      <c r="J99" s="172">
        <f t="shared" si="30"/>
        <v>416125.93</v>
      </c>
      <c r="K99" s="172">
        <f t="shared" si="30"/>
        <v>0</v>
      </c>
      <c r="L99" s="172">
        <f t="shared" si="30"/>
        <v>0</v>
      </c>
      <c r="M99" s="172">
        <f t="shared" si="30"/>
        <v>0</v>
      </c>
      <c r="N99" s="172">
        <f t="shared" si="30"/>
        <v>0</v>
      </c>
    </row>
    <row r="100" spans="1:16" s="44" customFormat="1" ht="12" x14ac:dyDescent="0.2">
      <c r="A100" s="173"/>
      <c r="B100" s="173" t="s">
        <v>174</v>
      </c>
      <c r="C100" s="40" t="s">
        <v>175</v>
      </c>
      <c r="D100" s="171">
        <f>726133-65805-40000</f>
        <v>620328</v>
      </c>
      <c r="E100" s="171">
        <v>582324.35</v>
      </c>
      <c r="F100" s="171">
        <f>E100/D100*100</f>
        <v>93.873620084858331</v>
      </c>
      <c r="G100" s="171">
        <f>H100+I100</f>
        <v>581924.35</v>
      </c>
      <c r="H100" s="171">
        <f>243561.55+17531.33+44710.97+5862.97+4000</f>
        <v>315666.81999999995</v>
      </c>
      <c r="I100" s="171">
        <f>-(H100+K100+J100+L100+M100+N100-E100)</f>
        <v>266257.53000000003</v>
      </c>
      <c r="J100" s="171">
        <v>0</v>
      </c>
      <c r="K100" s="171">
        <v>400</v>
      </c>
      <c r="L100" s="171">
        <v>0</v>
      </c>
      <c r="M100" s="171">
        <v>0</v>
      </c>
      <c r="N100" s="171">
        <v>0</v>
      </c>
    </row>
    <row r="101" spans="1:16" s="44" customFormat="1" ht="21.75" customHeight="1" x14ac:dyDescent="0.2">
      <c r="A101" s="173"/>
      <c r="B101" s="173" t="s">
        <v>176</v>
      </c>
      <c r="C101" s="40" t="s">
        <v>204</v>
      </c>
      <c r="D101" s="171">
        <v>180000</v>
      </c>
      <c r="E101" s="171">
        <v>180000</v>
      </c>
      <c r="F101" s="171">
        <f t="shared" si="22"/>
        <v>100</v>
      </c>
      <c r="G101" s="171">
        <f>H101+I101</f>
        <v>0</v>
      </c>
      <c r="H101" s="171">
        <v>0</v>
      </c>
      <c r="I101" s="171">
        <v>0</v>
      </c>
      <c r="J101" s="171">
        <v>180000</v>
      </c>
      <c r="K101" s="171">
        <v>0</v>
      </c>
      <c r="L101" s="171">
        <v>0</v>
      </c>
      <c r="M101" s="171">
        <v>0</v>
      </c>
      <c r="N101" s="171">
        <v>0</v>
      </c>
    </row>
    <row r="102" spans="1:16" s="43" customFormat="1" ht="12" x14ac:dyDescent="0.2">
      <c r="A102" s="174" t="s">
        <v>178</v>
      </c>
      <c r="B102" s="174"/>
      <c r="C102" s="221" t="s">
        <v>179</v>
      </c>
      <c r="D102" s="172">
        <f>D101+D100</f>
        <v>800328</v>
      </c>
      <c r="E102" s="172">
        <f>E101+E100</f>
        <v>762324.35</v>
      </c>
      <c r="F102" s="172">
        <f t="shared" si="22"/>
        <v>95.251490638838078</v>
      </c>
      <c r="G102" s="172">
        <f>G101+G100</f>
        <v>581924.35</v>
      </c>
      <c r="H102" s="172">
        <f t="shared" ref="H102:N102" si="31">H101+H100</f>
        <v>315666.81999999995</v>
      </c>
      <c r="I102" s="172">
        <f t="shared" si="31"/>
        <v>266257.53000000003</v>
      </c>
      <c r="J102" s="172">
        <f t="shared" si="31"/>
        <v>180000</v>
      </c>
      <c r="K102" s="172">
        <f t="shared" si="31"/>
        <v>400</v>
      </c>
      <c r="L102" s="172">
        <f t="shared" si="31"/>
        <v>0</v>
      </c>
      <c r="M102" s="172">
        <f t="shared" si="31"/>
        <v>0</v>
      </c>
      <c r="N102" s="172">
        <f t="shared" si="31"/>
        <v>0</v>
      </c>
    </row>
    <row r="103" spans="1:16" s="43" customFormat="1" ht="12" x14ac:dyDescent="0.2">
      <c r="A103" s="246"/>
      <c r="B103" s="247"/>
      <c r="C103" s="248" t="s">
        <v>63</v>
      </c>
      <c r="D103" s="249">
        <f>D102+D99+D94+D86+D78+D74+D72+D62+D58+D45+D42+D40+D36+D34+D32+D25+D23+D19+D16+D10</f>
        <v>43913449.350000001</v>
      </c>
      <c r="E103" s="249">
        <f>E10+E16+E19+E23+E32+E34+E36+E40+E42+E45+E58+E62+E72+E78+E86+E94+E99+E102+E74+E25</f>
        <v>39163989.099999994</v>
      </c>
      <c r="F103" s="172">
        <f t="shared" si="22"/>
        <v>89.184497414116237</v>
      </c>
      <c r="G103" s="250">
        <f>G10+G16+G19+G23+G32+G34+G36+G40+G42+G45+G58+G62+G72+G78+G86+G94+G99+G102+G25+G74</f>
        <v>24367088.380000003</v>
      </c>
      <c r="H103" s="250">
        <f>H10+H16+H19+H23+H32+H34+H36+H40+H42+H45+H58+H62+H72+H78+H86+H94+H99+H102+H74+H25</f>
        <v>8374245.3200000003</v>
      </c>
      <c r="I103" s="250">
        <f>I10+I16+I19+I23+I32+I34+I36+I40+I42+I45+I58+I62+I72+I78+I86+I94+I99+I102+I74+I25</f>
        <v>15992843.059999999</v>
      </c>
      <c r="J103" s="250">
        <f>J10+J16+J19+J23+J32+J34+J36+J40+J42+J45+J58+J62+J72+J78+J86+J94+J99+J102+J74+J25</f>
        <v>1777316.75</v>
      </c>
      <c r="K103" s="250">
        <f>K10+K16+K19+K23+K32+K34+K36+K40+K42+K45+K58+K62+K72+K78+K86+K94+K99+K102+K74+K25</f>
        <v>12912991.93</v>
      </c>
      <c r="L103" s="250">
        <f>L10+L16+L19+L23+L32+L34+L36+L40+L42+L45+L58+L62+L72+L78+L86+L94+L99+L102</f>
        <v>0</v>
      </c>
      <c r="M103" s="250">
        <f>M10+M16+M19+M23+M32+M34+M36+M40+M42+M45+M58+M62+M72+M78+M86+M94+M99+M102</f>
        <v>0</v>
      </c>
      <c r="N103" s="250">
        <f>N10+N16+N19+N23+N32+N34+N36+N40+N42+N45+N58+N62+N72+N78+N86+N94+N99+N102</f>
        <v>106592.04</v>
      </c>
      <c r="P103" s="351"/>
    </row>
    <row r="104" spans="1:16" s="44" customFormat="1" ht="12" x14ac:dyDescent="0.2">
      <c r="A104" s="226"/>
      <c r="B104" s="226"/>
      <c r="D104" s="227"/>
      <c r="E104" s="228"/>
      <c r="F104" s="229"/>
      <c r="G104" s="228"/>
      <c r="H104" s="228"/>
      <c r="I104" s="228"/>
      <c r="J104" s="228"/>
      <c r="K104" s="228"/>
      <c r="L104" s="228"/>
      <c r="M104" s="228"/>
      <c r="N104" s="228"/>
    </row>
    <row r="105" spans="1:16" s="44" customFormat="1" ht="12" x14ac:dyDescent="0.2">
      <c r="A105" s="226"/>
      <c r="B105" s="226"/>
      <c r="D105" s="227"/>
      <c r="E105" s="228"/>
      <c r="F105" s="229"/>
      <c r="G105" s="228"/>
      <c r="H105" s="228"/>
      <c r="I105" s="228"/>
      <c r="J105" s="228"/>
      <c r="K105" s="228"/>
      <c r="L105" s="228"/>
      <c r="M105" s="228"/>
      <c r="N105" s="228"/>
    </row>
    <row r="106" spans="1:16" s="44" customFormat="1" ht="12" x14ac:dyDescent="0.2">
      <c r="A106" s="226"/>
      <c r="B106" s="226"/>
      <c r="D106" s="227"/>
      <c r="E106" s="228"/>
      <c r="F106" s="229"/>
      <c r="G106" s="228"/>
      <c r="H106" s="228"/>
      <c r="I106" s="228"/>
      <c r="J106" s="228"/>
      <c r="K106" s="228"/>
      <c r="L106" s="228"/>
      <c r="M106" s="228"/>
      <c r="N106" s="228"/>
      <c r="P106" s="228"/>
    </row>
  </sheetData>
  <mergeCells count="12">
    <mergeCell ref="M4:M5"/>
    <mergeCell ref="N4:N5"/>
    <mergeCell ref="A2:N2"/>
    <mergeCell ref="A4:A5"/>
    <mergeCell ref="B4:B5"/>
    <mergeCell ref="C4:C5"/>
    <mergeCell ref="D4:F5"/>
    <mergeCell ref="G4:G5"/>
    <mergeCell ref="H4:I4"/>
    <mergeCell ref="J4:J5"/>
    <mergeCell ref="K4:K5"/>
    <mergeCell ref="L4:L5"/>
  </mergeCells>
  <pageMargins left="0.78740157480314965" right="0.19685039370078741" top="0.39370078740157483" bottom="0.39370078740157483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opLeftCell="A4" zoomScaleNormal="100" workbookViewId="0">
      <selection activeCell="Q21" sqref="Q21"/>
    </sheetView>
  </sheetViews>
  <sheetFormatPr defaultRowHeight="15" x14ac:dyDescent="0.25"/>
  <cols>
    <col min="1" max="1" width="4.7109375" style="15" customWidth="1"/>
    <col min="2" max="2" width="7.42578125" style="15" customWidth="1"/>
    <col min="3" max="3" width="42.85546875" customWidth="1"/>
    <col min="4" max="4" width="14.28515625" style="21" customWidth="1"/>
    <col min="5" max="5" width="13.28515625" style="22" customWidth="1"/>
    <col min="6" max="6" width="10.7109375" style="46" customWidth="1"/>
    <col min="7" max="7" width="12.5703125" style="22" customWidth="1"/>
    <col min="8" max="8" width="14.28515625" style="22" customWidth="1"/>
    <col min="9" max="9" width="10.85546875" style="22" customWidth="1"/>
    <col min="10" max="10" width="9.85546875" style="22" customWidth="1"/>
    <col min="11" max="11" width="10" style="22" customWidth="1"/>
    <col min="257" max="257" width="4.7109375" customWidth="1"/>
    <col min="258" max="258" width="7.42578125" customWidth="1"/>
    <col min="259" max="259" width="38.140625" customWidth="1"/>
    <col min="260" max="260" width="10" customWidth="1"/>
    <col min="261" max="261" width="12.42578125" customWidth="1"/>
    <col min="262" max="262" width="6.7109375" customWidth="1"/>
    <col min="263" max="263" width="12.5703125" customWidth="1"/>
    <col min="264" max="264" width="16" customWidth="1"/>
    <col min="265" max="265" width="12.140625" customWidth="1"/>
    <col min="266" max="266" width="11.7109375" customWidth="1"/>
    <col min="267" max="267" width="10.42578125" customWidth="1"/>
    <col min="513" max="513" width="4.7109375" customWidth="1"/>
    <col min="514" max="514" width="7.42578125" customWidth="1"/>
    <col min="515" max="515" width="38.140625" customWidth="1"/>
    <col min="516" max="516" width="10" customWidth="1"/>
    <col min="517" max="517" width="12.42578125" customWidth="1"/>
    <col min="518" max="518" width="6.7109375" customWidth="1"/>
    <col min="519" max="519" width="12.5703125" customWidth="1"/>
    <col min="520" max="520" width="16" customWidth="1"/>
    <col min="521" max="521" width="12.140625" customWidth="1"/>
    <col min="522" max="522" width="11.7109375" customWidth="1"/>
    <col min="523" max="523" width="10.42578125" customWidth="1"/>
    <col min="769" max="769" width="4.7109375" customWidth="1"/>
    <col min="770" max="770" width="7.42578125" customWidth="1"/>
    <col min="771" max="771" width="38.140625" customWidth="1"/>
    <col min="772" max="772" width="10" customWidth="1"/>
    <col min="773" max="773" width="12.42578125" customWidth="1"/>
    <col min="774" max="774" width="6.7109375" customWidth="1"/>
    <col min="775" max="775" width="12.5703125" customWidth="1"/>
    <col min="776" max="776" width="16" customWidth="1"/>
    <col min="777" max="777" width="12.140625" customWidth="1"/>
    <col min="778" max="778" width="11.7109375" customWidth="1"/>
    <col min="779" max="779" width="10.42578125" customWidth="1"/>
    <col min="1025" max="1025" width="4.7109375" customWidth="1"/>
    <col min="1026" max="1026" width="7.42578125" customWidth="1"/>
    <col min="1027" max="1027" width="38.140625" customWidth="1"/>
    <col min="1028" max="1028" width="10" customWidth="1"/>
    <col min="1029" max="1029" width="12.42578125" customWidth="1"/>
    <col min="1030" max="1030" width="6.7109375" customWidth="1"/>
    <col min="1031" max="1031" width="12.5703125" customWidth="1"/>
    <col min="1032" max="1032" width="16" customWidth="1"/>
    <col min="1033" max="1033" width="12.140625" customWidth="1"/>
    <col min="1034" max="1034" width="11.7109375" customWidth="1"/>
    <col min="1035" max="1035" width="10.42578125" customWidth="1"/>
    <col min="1281" max="1281" width="4.7109375" customWidth="1"/>
    <col min="1282" max="1282" width="7.42578125" customWidth="1"/>
    <col min="1283" max="1283" width="38.140625" customWidth="1"/>
    <col min="1284" max="1284" width="10" customWidth="1"/>
    <col min="1285" max="1285" width="12.42578125" customWidth="1"/>
    <col min="1286" max="1286" width="6.7109375" customWidth="1"/>
    <col min="1287" max="1287" width="12.5703125" customWidth="1"/>
    <col min="1288" max="1288" width="16" customWidth="1"/>
    <col min="1289" max="1289" width="12.140625" customWidth="1"/>
    <col min="1290" max="1290" width="11.7109375" customWidth="1"/>
    <col min="1291" max="1291" width="10.42578125" customWidth="1"/>
    <col min="1537" max="1537" width="4.7109375" customWidth="1"/>
    <col min="1538" max="1538" width="7.42578125" customWidth="1"/>
    <col min="1539" max="1539" width="38.140625" customWidth="1"/>
    <col min="1540" max="1540" width="10" customWidth="1"/>
    <col min="1541" max="1541" width="12.42578125" customWidth="1"/>
    <col min="1542" max="1542" width="6.7109375" customWidth="1"/>
    <col min="1543" max="1543" width="12.5703125" customWidth="1"/>
    <col min="1544" max="1544" width="16" customWidth="1"/>
    <col min="1545" max="1545" width="12.140625" customWidth="1"/>
    <col min="1546" max="1546" width="11.7109375" customWidth="1"/>
    <col min="1547" max="1547" width="10.42578125" customWidth="1"/>
    <col min="1793" max="1793" width="4.7109375" customWidth="1"/>
    <col min="1794" max="1794" width="7.42578125" customWidth="1"/>
    <col min="1795" max="1795" width="38.140625" customWidth="1"/>
    <col min="1796" max="1796" width="10" customWidth="1"/>
    <col min="1797" max="1797" width="12.42578125" customWidth="1"/>
    <col min="1798" max="1798" width="6.7109375" customWidth="1"/>
    <col min="1799" max="1799" width="12.5703125" customWidth="1"/>
    <col min="1800" max="1800" width="16" customWidth="1"/>
    <col min="1801" max="1801" width="12.140625" customWidth="1"/>
    <col min="1802" max="1802" width="11.7109375" customWidth="1"/>
    <col min="1803" max="1803" width="10.42578125" customWidth="1"/>
    <col min="2049" max="2049" width="4.7109375" customWidth="1"/>
    <col min="2050" max="2050" width="7.42578125" customWidth="1"/>
    <col min="2051" max="2051" width="38.140625" customWidth="1"/>
    <col min="2052" max="2052" width="10" customWidth="1"/>
    <col min="2053" max="2053" width="12.42578125" customWidth="1"/>
    <col min="2054" max="2054" width="6.7109375" customWidth="1"/>
    <col min="2055" max="2055" width="12.5703125" customWidth="1"/>
    <col min="2056" max="2056" width="16" customWidth="1"/>
    <col min="2057" max="2057" width="12.140625" customWidth="1"/>
    <col min="2058" max="2058" width="11.7109375" customWidth="1"/>
    <col min="2059" max="2059" width="10.42578125" customWidth="1"/>
    <col min="2305" max="2305" width="4.7109375" customWidth="1"/>
    <col min="2306" max="2306" width="7.42578125" customWidth="1"/>
    <col min="2307" max="2307" width="38.140625" customWidth="1"/>
    <col min="2308" max="2308" width="10" customWidth="1"/>
    <col min="2309" max="2309" width="12.42578125" customWidth="1"/>
    <col min="2310" max="2310" width="6.7109375" customWidth="1"/>
    <col min="2311" max="2311" width="12.5703125" customWidth="1"/>
    <col min="2312" max="2312" width="16" customWidth="1"/>
    <col min="2313" max="2313" width="12.140625" customWidth="1"/>
    <col min="2314" max="2314" width="11.7109375" customWidth="1"/>
    <col min="2315" max="2315" width="10.42578125" customWidth="1"/>
    <col min="2561" max="2561" width="4.7109375" customWidth="1"/>
    <col min="2562" max="2562" width="7.42578125" customWidth="1"/>
    <col min="2563" max="2563" width="38.140625" customWidth="1"/>
    <col min="2564" max="2564" width="10" customWidth="1"/>
    <col min="2565" max="2565" width="12.42578125" customWidth="1"/>
    <col min="2566" max="2566" width="6.7109375" customWidth="1"/>
    <col min="2567" max="2567" width="12.5703125" customWidth="1"/>
    <col min="2568" max="2568" width="16" customWidth="1"/>
    <col min="2569" max="2569" width="12.140625" customWidth="1"/>
    <col min="2570" max="2570" width="11.7109375" customWidth="1"/>
    <col min="2571" max="2571" width="10.42578125" customWidth="1"/>
    <col min="2817" max="2817" width="4.7109375" customWidth="1"/>
    <col min="2818" max="2818" width="7.42578125" customWidth="1"/>
    <col min="2819" max="2819" width="38.140625" customWidth="1"/>
    <col min="2820" max="2820" width="10" customWidth="1"/>
    <col min="2821" max="2821" width="12.42578125" customWidth="1"/>
    <col min="2822" max="2822" width="6.7109375" customWidth="1"/>
    <col min="2823" max="2823" width="12.5703125" customWidth="1"/>
    <col min="2824" max="2824" width="16" customWidth="1"/>
    <col min="2825" max="2825" width="12.140625" customWidth="1"/>
    <col min="2826" max="2826" width="11.7109375" customWidth="1"/>
    <col min="2827" max="2827" width="10.42578125" customWidth="1"/>
    <col min="3073" max="3073" width="4.7109375" customWidth="1"/>
    <col min="3074" max="3074" width="7.42578125" customWidth="1"/>
    <col min="3075" max="3075" width="38.140625" customWidth="1"/>
    <col min="3076" max="3076" width="10" customWidth="1"/>
    <col min="3077" max="3077" width="12.42578125" customWidth="1"/>
    <col min="3078" max="3078" width="6.7109375" customWidth="1"/>
    <col min="3079" max="3079" width="12.5703125" customWidth="1"/>
    <col min="3080" max="3080" width="16" customWidth="1"/>
    <col min="3081" max="3081" width="12.140625" customWidth="1"/>
    <col min="3082" max="3082" width="11.7109375" customWidth="1"/>
    <col min="3083" max="3083" width="10.42578125" customWidth="1"/>
    <col min="3329" max="3329" width="4.7109375" customWidth="1"/>
    <col min="3330" max="3330" width="7.42578125" customWidth="1"/>
    <col min="3331" max="3331" width="38.140625" customWidth="1"/>
    <col min="3332" max="3332" width="10" customWidth="1"/>
    <col min="3333" max="3333" width="12.42578125" customWidth="1"/>
    <col min="3334" max="3334" width="6.7109375" customWidth="1"/>
    <col min="3335" max="3335" width="12.5703125" customWidth="1"/>
    <col min="3336" max="3336" width="16" customWidth="1"/>
    <col min="3337" max="3337" width="12.140625" customWidth="1"/>
    <col min="3338" max="3338" width="11.7109375" customWidth="1"/>
    <col min="3339" max="3339" width="10.42578125" customWidth="1"/>
    <col min="3585" max="3585" width="4.7109375" customWidth="1"/>
    <col min="3586" max="3586" width="7.42578125" customWidth="1"/>
    <col min="3587" max="3587" width="38.140625" customWidth="1"/>
    <col min="3588" max="3588" width="10" customWidth="1"/>
    <col min="3589" max="3589" width="12.42578125" customWidth="1"/>
    <col min="3590" max="3590" width="6.7109375" customWidth="1"/>
    <col min="3591" max="3591" width="12.5703125" customWidth="1"/>
    <col min="3592" max="3592" width="16" customWidth="1"/>
    <col min="3593" max="3593" width="12.140625" customWidth="1"/>
    <col min="3594" max="3594" width="11.7109375" customWidth="1"/>
    <col min="3595" max="3595" width="10.42578125" customWidth="1"/>
    <col min="3841" max="3841" width="4.7109375" customWidth="1"/>
    <col min="3842" max="3842" width="7.42578125" customWidth="1"/>
    <col min="3843" max="3843" width="38.140625" customWidth="1"/>
    <col min="3844" max="3844" width="10" customWidth="1"/>
    <col min="3845" max="3845" width="12.42578125" customWidth="1"/>
    <col min="3846" max="3846" width="6.7109375" customWidth="1"/>
    <col min="3847" max="3847" width="12.5703125" customWidth="1"/>
    <col min="3848" max="3848" width="16" customWidth="1"/>
    <col min="3849" max="3849" width="12.140625" customWidth="1"/>
    <col min="3850" max="3850" width="11.7109375" customWidth="1"/>
    <col min="3851" max="3851" width="10.42578125" customWidth="1"/>
    <col min="4097" max="4097" width="4.7109375" customWidth="1"/>
    <col min="4098" max="4098" width="7.42578125" customWidth="1"/>
    <col min="4099" max="4099" width="38.140625" customWidth="1"/>
    <col min="4100" max="4100" width="10" customWidth="1"/>
    <col min="4101" max="4101" width="12.42578125" customWidth="1"/>
    <col min="4102" max="4102" width="6.7109375" customWidth="1"/>
    <col min="4103" max="4103" width="12.5703125" customWidth="1"/>
    <col min="4104" max="4104" width="16" customWidth="1"/>
    <col min="4105" max="4105" width="12.140625" customWidth="1"/>
    <col min="4106" max="4106" width="11.7109375" customWidth="1"/>
    <col min="4107" max="4107" width="10.42578125" customWidth="1"/>
    <col min="4353" max="4353" width="4.7109375" customWidth="1"/>
    <col min="4354" max="4354" width="7.42578125" customWidth="1"/>
    <col min="4355" max="4355" width="38.140625" customWidth="1"/>
    <col min="4356" max="4356" width="10" customWidth="1"/>
    <col min="4357" max="4357" width="12.42578125" customWidth="1"/>
    <col min="4358" max="4358" width="6.7109375" customWidth="1"/>
    <col min="4359" max="4359" width="12.5703125" customWidth="1"/>
    <col min="4360" max="4360" width="16" customWidth="1"/>
    <col min="4361" max="4361" width="12.140625" customWidth="1"/>
    <col min="4362" max="4362" width="11.7109375" customWidth="1"/>
    <col min="4363" max="4363" width="10.42578125" customWidth="1"/>
    <col min="4609" max="4609" width="4.7109375" customWidth="1"/>
    <col min="4610" max="4610" width="7.42578125" customWidth="1"/>
    <col min="4611" max="4611" width="38.140625" customWidth="1"/>
    <col min="4612" max="4612" width="10" customWidth="1"/>
    <col min="4613" max="4613" width="12.42578125" customWidth="1"/>
    <col min="4614" max="4614" width="6.7109375" customWidth="1"/>
    <col min="4615" max="4615" width="12.5703125" customWidth="1"/>
    <col min="4616" max="4616" width="16" customWidth="1"/>
    <col min="4617" max="4617" width="12.140625" customWidth="1"/>
    <col min="4618" max="4618" width="11.7109375" customWidth="1"/>
    <col min="4619" max="4619" width="10.42578125" customWidth="1"/>
    <col min="4865" max="4865" width="4.7109375" customWidth="1"/>
    <col min="4866" max="4866" width="7.42578125" customWidth="1"/>
    <col min="4867" max="4867" width="38.140625" customWidth="1"/>
    <col min="4868" max="4868" width="10" customWidth="1"/>
    <col min="4869" max="4869" width="12.42578125" customWidth="1"/>
    <col min="4870" max="4870" width="6.7109375" customWidth="1"/>
    <col min="4871" max="4871" width="12.5703125" customWidth="1"/>
    <col min="4872" max="4872" width="16" customWidth="1"/>
    <col min="4873" max="4873" width="12.140625" customWidth="1"/>
    <col min="4874" max="4874" width="11.7109375" customWidth="1"/>
    <col min="4875" max="4875" width="10.42578125" customWidth="1"/>
    <col min="5121" max="5121" width="4.7109375" customWidth="1"/>
    <col min="5122" max="5122" width="7.42578125" customWidth="1"/>
    <col min="5123" max="5123" width="38.140625" customWidth="1"/>
    <col min="5124" max="5124" width="10" customWidth="1"/>
    <col min="5125" max="5125" width="12.42578125" customWidth="1"/>
    <col min="5126" max="5126" width="6.7109375" customWidth="1"/>
    <col min="5127" max="5127" width="12.5703125" customWidth="1"/>
    <col min="5128" max="5128" width="16" customWidth="1"/>
    <col min="5129" max="5129" width="12.140625" customWidth="1"/>
    <col min="5130" max="5130" width="11.7109375" customWidth="1"/>
    <col min="5131" max="5131" width="10.42578125" customWidth="1"/>
    <col min="5377" max="5377" width="4.7109375" customWidth="1"/>
    <col min="5378" max="5378" width="7.42578125" customWidth="1"/>
    <col min="5379" max="5379" width="38.140625" customWidth="1"/>
    <col min="5380" max="5380" width="10" customWidth="1"/>
    <col min="5381" max="5381" width="12.42578125" customWidth="1"/>
    <col min="5382" max="5382" width="6.7109375" customWidth="1"/>
    <col min="5383" max="5383" width="12.5703125" customWidth="1"/>
    <col min="5384" max="5384" width="16" customWidth="1"/>
    <col min="5385" max="5385" width="12.140625" customWidth="1"/>
    <col min="5386" max="5386" width="11.7109375" customWidth="1"/>
    <col min="5387" max="5387" width="10.42578125" customWidth="1"/>
    <col min="5633" max="5633" width="4.7109375" customWidth="1"/>
    <col min="5634" max="5634" width="7.42578125" customWidth="1"/>
    <col min="5635" max="5635" width="38.140625" customWidth="1"/>
    <col min="5636" max="5636" width="10" customWidth="1"/>
    <col min="5637" max="5637" width="12.42578125" customWidth="1"/>
    <col min="5638" max="5638" width="6.7109375" customWidth="1"/>
    <col min="5639" max="5639" width="12.5703125" customWidth="1"/>
    <col min="5640" max="5640" width="16" customWidth="1"/>
    <col min="5641" max="5641" width="12.140625" customWidth="1"/>
    <col min="5642" max="5642" width="11.7109375" customWidth="1"/>
    <col min="5643" max="5643" width="10.42578125" customWidth="1"/>
    <col min="5889" max="5889" width="4.7109375" customWidth="1"/>
    <col min="5890" max="5890" width="7.42578125" customWidth="1"/>
    <col min="5891" max="5891" width="38.140625" customWidth="1"/>
    <col min="5892" max="5892" width="10" customWidth="1"/>
    <col min="5893" max="5893" width="12.42578125" customWidth="1"/>
    <col min="5894" max="5894" width="6.7109375" customWidth="1"/>
    <col min="5895" max="5895" width="12.5703125" customWidth="1"/>
    <col min="5896" max="5896" width="16" customWidth="1"/>
    <col min="5897" max="5897" width="12.140625" customWidth="1"/>
    <col min="5898" max="5898" width="11.7109375" customWidth="1"/>
    <col min="5899" max="5899" width="10.42578125" customWidth="1"/>
    <col min="6145" max="6145" width="4.7109375" customWidth="1"/>
    <col min="6146" max="6146" width="7.42578125" customWidth="1"/>
    <col min="6147" max="6147" width="38.140625" customWidth="1"/>
    <col min="6148" max="6148" width="10" customWidth="1"/>
    <col min="6149" max="6149" width="12.42578125" customWidth="1"/>
    <col min="6150" max="6150" width="6.7109375" customWidth="1"/>
    <col min="6151" max="6151" width="12.5703125" customWidth="1"/>
    <col min="6152" max="6152" width="16" customWidth="1"/>
    <col min="6153" max="6153" width="12.140625" customWidth="1"/>
    <col min="6154" max="6154" width="11.7109375" customWidth="1"/>
    <col min="6155" max="6155" width="10.42578125" customWidth="1"/>
    <col min="6401" max="6401" width="4.7109375" customWidth="1"/>
    <col min="6402" max="6402" width="7.42578125" customWidth="1"/>
    <col min="6403" max="6403" width="38.140625" customWidth="1"/>
    <col min="6404" max="6404" width="10" customWidth="1"/>
    <col min="6405" max="6405" width="12.42578125" customWidth="1"/>
    <col min="6406" max="6406" width="6.7109375" customWidth="1"/>
    <col min="6407" max="6407" width="12.5703125" customWidth="1"/>
    <col min="6408" max="6408" width="16" customWidth="1"/>
    <col min="6409" max="6409" width="12.140625" customWidth="1"/>
    <col min="6410" max="6410" width="11.7109375" customWidth="1"/>
    <col min="6411" max="6411" width="10.42578125" customWidth="1"/>
    <col min="6657" max="6657" width="4.7109375" customWidth="1"/>
    <col min="6658" max="6658" width="7.42578125" customWidth="1"/>
    <col min="6659" max="6659" width="38.140625" customWidth="1"/>
    <col min="6660" max="6660" width="10" customWidth="1"/>
    <col min="6661" max="6661" width="12.42578125" customWidth="1"/>
    <col min="6662" max="6662" width="6.7109375" customWidth="1"/>
    <col min="6663" max="6663" width="12.5703125" customWidth="1"/>
    <col min="6664" max="6664" width="16" customWidth="1"/>
    <col min="6665" max="6665" width="12.140625" customWidth="1"/>
    <col min="6666" max="6666" width="11.7109375" customWidth="1"/>
    <col min="6667" max="6667" width="10.42578125" customWidth="1"/>
    <col min="6913" max="6913" width="4.7109375" customWidth="1"/>
    <col min="6914" max="6914" width="7.42578125" customWidth="1"/>
    <col min="6915" max="6915" width="38.140625" customWidth="1"/>
    <col min="6916" max="6916" width="10" customWidth="1"/>
    <col min="6917" max="6917" width="12.42578125" customWidth="1"/>
    <col min="6918" max="6918" width="6.7109375" customWidth="1"/>
    <col min="6919" max="6919" width="12.5703125" customWidth="1"/>
    <col min="6920" max="6920" width="16" customWidth="1"/>
    <col min="6921" max="6921" width="12.140625" customWidth="1"/>
    <col min="6922" max="6922" width="11.7109375" customWidth="1"/>
    <col min="6923" max="6923" width="10.42578125" customWidth="1"/>
    <col min="7169" max="7169" width="4.7109375" customWidth="1"/>
    <col min="7170" max="7170" width="7.42578125" customWidth="1"/>
    <col min="7171" max="7171" width="38.140625" customWidth="1"/>
    <col min="7172" max="7172" width="10" customWidth="1"/>
    <col min="7173" max="7173" width="12.42578125" customWidth="1"/>
    <col min="7174" max="7174" width="6.7109375" customWidth="1"/>
    <col min="7175" max="7175" width="12.5703125" customWidth="1"/>
    <col min="7176" max="7176" width="16" customWidth="1"/>
    <col min="7177" max="7177" width="12.140625" customWidth="1"/>
    <col min="7178" max="7178" width="11.7109375" customWidth="1"/>
    <col min="7179" max="7179" width="10.42578125" customWidth="1"/>
    <col min="7425" max="7425" width="4.7109375" customWidth="1"/>
    <col min="7426" max="7426" width="7.42578125" customWidth="1"/>
    <col min="7427" max="7427" width="38.140625" customWidth="1"/>
    <col min="7428" max="7428" width="10" customWidth="1"/>
    <col min="7429" max="7429" width="12.42578125" customWidth="1"/>
    <col min="7430" max="7430" width="6.7109375" customWidth="1"/>
    <col min="7431" max="7431" width="12.5703125" customWidth="1"/>
    <col min="7432" max="7432" width="16" customWidth="1"/>
    <col min="7433" max="7433" width="12.140625" customWidth="1"/>
    <col min="7434" max="7434" width="11.7109375" customWidth="1"/>
    <col min="7435" max="7435" width="10.42578125" customWidth="1"/>
    <col min="7681" max="7681" width="4.7109375" customWidth="1"/>
    <col min="7682" max="7682" width="7.42578125" customWidth="1"/>
    <col min="7683" max="7683" width="38.140625" customWidth="1"/>
    <col min="7684" max="7684" width="10" customWidth="1"/>
    <col min="7685" max="7685" width="12.42578125" customWidth="1"/>
    <col min="7686" max="7686" width="6.7109375" customWidth="1"/>
    <col min="7687" max="7687" width="12.5703125" customWidth="1"/>
    <col min="7688" max="7688" width="16" customWidth="1"/>
    <col min="7689" max="7689" width="12.140625" customWidth="1"/>
    <col min="7690" max="7690" width="11.7109375" customWidth="1"/>
    <col min="7691" max="7691" width="10.42578125" customWidth="1"/>
    <col min="7937" max="7937" width="4.7109375" customWidth="1"/>
    <col min="7938" max="7938" width="7.42578125" customWidth="1"/>
    <col min="7939" max="7939" width="38.140625" customWidth="1"/>
    <col min="7940" max="7940" width="10" customWidth="1"/>
    <col min="7941" max="7941" width="12.42578125" customWidth="1"/>
    <col min="7942" max="7942" width="6.7109375" customWidth="1"/>
    <col min="7943" max="7943" width="12.5703125" customWidth="1"/>
    <col min="7944" max="7944" width="16" customWidth="1"/>
    <col min="7945" max="7945" width="12.140625" customWidth="1"/>
    <col min="7946" max="7946" width="11.7109375" customWidth="1"/>
    <col min="7947" max="7947" width="10.42578125" customWidth="1"/>
    <col min="8193" max="8193" width="4.7109375" customWidth="1"/>
    <col min="8194" max="8194" width="7.42578125" customWidth="1"/>
    <col min="8195" max="8195" width="38.140625" customWidth="1"/>
    <col min="8196" max="8196" width="10" customWidth="1"/>
    <col min="8197" max="8197" width="12.42578125" customWidth="1"/>
    <col min="8198" max="8198" width="6.7109375" customWidth="1"/>
    <col min="8199" max="8199" width="12.5703125" customWidth="1"/>
    <col min="8200" max="8200" width="16" customWidth="1"/>
    <col min="8201" max="8201" width="12.140625" customWidth="1"/>
    <col min="8202" max="8202" width="11.7109375" customWidth="1"/>
    <col min="8203" max="8203" width="10.42578125" customWidth="1"/>
    <col min="8449" max="8449" width="4.7109375" customWidth="1"/>
    <col min="8450" max="8450" width="7.42578125" customWidth="1"/>
    <col min="8451" max="8451" width="38.140625" customWidth="1"/>
    <col min="8452" max="8452" width="10" customWidth="1"/>
    <col min="8453" max="8453" width="12.42578125" customWidth="1"/>
    <col min="8454" max="8454" width="6.7109375" customWidth="1"/>
    <col min="8455" max="8455" width="12.5703125" customWidth="1"/>
    <col min="8456" max="8456" width="16" customWidth="1"/>
    <col min="8457" max="8457" width="12.140625" customWidth="1"/>
    <col min="8458" max="8458" width="11.7109375" customWidth="1"/>
    <col min="8459" max="8459" width="10.42578125" customWidth="1"/>
    <col min="8705" max="8705" width="4.7109375" customWidth="1"/>
    <col min="8706" max="8706" width="7.42578125" customWidth="1"/>
    <col min="8707" max="8707" width="38.140625" customWidth="1"/>
    <col min="8708" max="8708" width="10" customWidth="1"/>
    <col min="8709" max="8709" width="12.42578125" customWidth="1"/>
    <col min="8710" max="8710" width="6.7109375" customWidth="1"/>
    <col min="8711" max="8711" width="12.5703125" customWidth="1"/>
    <col min="8712" max="8712" width="16" customWidth="1"/>
    <col min="8713" max="8713" width="12.140625" customWidth="1"/>
    <col min="8714" max="8714" width="11.7109375" customWidth="1"/>
    <col min="8715" max="8715" width="10.42578125" customWidth="1"/>
    <col min="8961" max="8961" width="4.7109375" customWidth="1"/>
    <col min="8962" max="8962" width="7.42578125" customWidth="1"/>
    <col min="8963" max="8963" width="38.140625" customWidth="1"/>
    <col min="8964" max="8964" width="10" customWidth="1"/>
    <col min="8965" max="8965" width="12.42578125" customWidth="1"/>
    <col min="8966" max="8966" width="6.7109375" customWidth="1"/>
    <col min="8967" max="8967" width="12.5703125" customWidth="1"/>
    <col min="8968" max="8968" width="16" customWidth="1"/>
    <col min="8969" max="8969" width="12.140625" customWidth="1"/>
    <col min="8970" max="8970" width="11.7109375" customWidth="1"/>
    <col min="8971" max="8971" width="10.42578125" customWidth="1"/>
    <col min="9217" max="9217" width="4.7109375" customWidth="1"/>
    <col min="9218" max="9218" width="7.42578125" customWidth="1"/>
    <col min="9219" max="9219" width="38.140625" customWidth="1"/>
    <col min="9220" max="9220" width="10" customWidth="1"/>
    <col min="9221" max="9221" width="12.42578125" customWidth="1"/>
    <col min="9222" max="9222" width="6.7109375" customWidth="1"/>
    <col min="9223" max="9223" width="12.5703125" customWidth="1"/>
    <col min="9224" max="9224" width="16" customWidth="1"/>
    <col min="9225" max="9225" width="12.140625" customWidth="1"/>
    <col min="9226" max="9226" width="11.7109375" customWidth="1"/>
    <col min="9227" max="9227" width="10.42578125" customWidth="1"/>
    <col min="9473" max="9473" width="4.7109375" customWidth="1"/>
    <col min="9474" max="9474" width="7.42578125" customWidth="1"/>
    <col min="9475" max="9475" width="38.140625" customWidth="1"/>
    <col min="9476" max="9476" width="10" customWidth="1"/>
    <col min="9477" max="9477" width="12.42578125" customWidth="1"/>
    <col min="9478" max="9478" width="6.7109375" customWidth="1"/>
    <col min="9479" max="9479" width="12.5703125" customWidth="1"/>
    <col min="9480" max="9480" width="16" customWidth="1"/>
    <col min="9481" max="9481" width="12.140625" customWidth="1"/>
    <col min="9482" max="9482" width="11.7109375" customWidth="1"/>
    <col min="9483" max="9483" width="10.42578125" customWidth="1"/>
    <col min="9729" max="9729" width="4.7109375" customWidth="1"/>
    <col min="9730" max="9730" width="7.42578125" customWidth="1"/>
    <col min="9731" max="9731" width="38.140625" customWidth="1"/>
    <col min="9732" max="9732" width="10" customWidth="1"/>
    <col min="9733" max="9733" width="12.42578125" customWidth="1"/>
    <col min="9734" max="9734" width="6.7109375" customWidth="1"/>
    <col min="9735" max="9735" width="12.5703125" customWidth="1"/>
    <col min="9736" max="9736" width="16" customWidth="1"/>
    <col min="9737" max="9737" width="12.140625" customWidth="1"/>
    <col min="9738" max="9738" width="11.7109375" customWidth="1"/>
    <col min="9739" max="9739" width="10.42578125" customWidth="1"/>
    <col min="9985" max="9985" width="4.7109375" customWidth="1"/>
    <col min="9986" max="9986" width="7.42578125" customWidth="1"/>
    <col min="9987" max="9987" width="38.140625" customWidth="1"/>
    <col min="9988" max="9988" width="10" customWidth="1"/>
    <col min="9989" max="9989" width="12.42578125" customWidth="1"/>
    <col min="9990" max="9990" width="6.7109375" customWidth="1"/>
    <col min="9991" max="9991" width="12.5703125" customWidth="1"/>
    <col min="9992" max="9992" width="16" customWidth="1"/>
    <col min="9993" max="9993" width="12.140625" customWidth="1"/>
    <col min="9994" max="9994" width="11.7109375" customWidth="1"/>
    <col min="9995" max="9995" width="10.42578125" customWidth="1"/>
    <col min="10241" max="10241" width="4.7109375" customWidth="1"/>
    <col min="10242" max="10242" width="7.42578125" customWidth="1"/>
    <col min="10243" max="10243" width="38.140625" customWidth="1"/>
    <col min="10244" max="10244" width="10" customWidth="1"/>
    <col min="10245" max="10245" width="12.42578125" customWidth="1"/>
    <col min="10246" max="10246" width="6.7109375" customWidth="1"/>
    <col min="10247" max="10247" width="12.5703125" customWidth="1"/>
    <col min="10248" max="10248" width="16" customWidth="1"/>
    <col min="10249" max="10249" width="12.140625" customWidth="1"/>
    <col min="10250" max="10250" width="11.7109375" customWidth="1"/>
    <col min="10251" max="10251" width="10.42578125" customWidth="1"/>
    <col min="10497" max="10497" width="4.7109375" customWidth="1"/>
    <col min="10498" max="10498" width="7.42578125" customWidth="1"/>
    <col min="10499" max="10499" width="38.140625" customWidth="1"/>
    <col min="10500" max="10500" width="10" customWidth="1"/>
    <col min="10501" max="10501" width="12.42578125" customWidth="1"/>
    <col min="10502" max="10502" width="6.7109375" customWidth="1"/>
    <col min="10503" max="10503" width="12.5703125" customWidth="1"/>
    <col min="10504" max="10504" width="16" customWidth="1"/>
    <col min="10505" max="10505" width="12.140625" customWidth="1"/>
    <col min="10506" max="10506" width="11.7109375" customWidth="1"/>
    <col min="10507" max="10507" width="10.42578125" customWidth="1"/>
    <col min="10753" max="10753" width="4.7109375" customWidth="1"/>
    <col min="10754" max="10754" width="7.42578125" customWidth="1"/>
    <col min="10755" max="10755" width="38.140625" customWidth="1"/>
    <col min="10756" max="10756" width="10" customWidth="1"/>
    <col min="10757" max="10757" width="12.42578125" customWidth="1"/>
    <col min="10758" max="10758" width="6.7109375" customWidth="1"/>
    <col min="10759" max="10759" width="12.5703125" customWidth="1"/>
    <col min="10760" max="10760" width="16" customWidth="1"/>
    <col min="10761" max="10761" width="12.140625" customWidth="1"/>
    <col min="10762" max="10762" width="11.7109375" customWidth="1"/>
    <col min="10763" max="10763" width="10.42578125" customWidth="1"/>
    <col min="11009" max="11009" width="4.7109375" customWidth="1"/>
    <col min="11010" max="11010" width="7.42578125" customWidth="1"/>
    <col min="11011" max="11011" width="38.140625" customWidth="1"/>
    <col min="11012" max="11012" width="10" customWidth="1"/>
    <col min="11013" max="11013" width="12.42578125" customWidth="1"/>
    <col min="11014" max="11014" width="6.7109375" customWidth="1"/>
    <col min="11015" max="11015" width="12.5703125" customWidth="1"/>
    <col min="11016" max="11016" width="16" customWidth="1"/>
    <col min="11017" max="11017" width="12.140625" customWidth="1"/>
    <col min="11018" max="11018" width="11.7109375" customWidth="1"/>
    <col min="11019" max="11019" width="10.42578125" customWidth="1"/>
    <col min="11265" max="11265" width="4.7109375" customWidth="1"/>
    <col min="11266" max="11266" width="7.42578125" customWidth="1"/>
    <col min="11267" max="11267" width="38.140625" customWidth="1"/>
    <col min="11268" max="11268" width="10" customWidth="1"/>
    <col min="11269" max="11269" width="12.42578125" customWidth="1"/>
    <col min="11270" max="11270" width="6.7109375" customWidth="1"/>
    <col min="11271" max="11271" width="12.5703125" customWidth="1"/>
    <col min="11272" max="11272" width="16" customWidth="1"/>
    <col min="11273" max="11273" width="12.140625" customWidth="1"/>
    <col min="11274" max="11274" width="11.7109375" customWidth="1"/>
    <col min="11275" max="11275" width="10.42578125" customWidth="1"/>
    <col min="11521" max="11521" width="4.7109375" customWidth="1"/>
    <col min="11522" max="11522" width="7.42578125" customWidth="1"/>
    <col min="11523" max="11523" width="38.140625" customWidth="1"/>
    <col min="11524" max="11524" width="10" customWidth="1"/>
    <col min="11525" max="11525" width="12.42578125" customWidth="1"/>
    <col min="11526" max="11526" width="6.7109375" customWidth="1"/>
    <col min="11527" max="11527" width="12.5703125" customWidth="1"/>
    <col min="11528" max="11528" width="16" customWidth="1"/>
    <col min="11529" max="11529" width="12.140625" customWidth="1"/>
    <col min="11530" max="11530" width="11.7109375" customWidth="1"/>
    <col min="11531" max="11531" width="10.42578125" customWidth="1"/>
    <col min="11777" max="11777" width="4.7109375" customWidth="1"/>
    <col min="11778" max="11778" width="7.42578125" customWidth="1"/>
    <col min="11779" max="11779" width="38.140625" customWidth="1"/>
    <col min="11780" max="11780" width="10" customWidth="1"/>
    <col min="11781" max="11781" width="12.42578125" customWidth="1"/>
    <col min="11782" max="11782" width="6.7109375" customWidth="1"/>
    <col min="11783" max="11783" width="12.5703125" customWidth="1"/>
    <col min="11784" max="11784" width="16" customWidth="1"/>
    <col min="11785" max="11785" width="12.140625" customWidth="1"/>
    <col min="11786" max="11786" width="11.7109375" customWidth="1"/>
    <col min="11787" max="11787" width="10.42578125" customWidth="1"/>
    <col min="12033" max="12033" width="4.7109375" customWidth="1"/>
    <col min="12034" max="12034" width="7.42578125" customWidth="1"/>
    <col min="12035" max="12035" width="38.140625" customWidth="1"/>
    <col min="12036" max="12036" width="10" customWidth="1"/>
    <col min="12037" max="12037" width="12.42578125" customWidth="1"/>
    <col min="12038" max="12038" width="6.7109375" customWidth="1"/>
    <col min="12039" max="12039" width="12.5703125" customWidth="1"/>
    <col min="12040" max="12040" width="16" customWidth="1"/>
    <col min="12041" max="12041" width="12.140625" customWidth="1"/>
    <col min="12042" max="12042" width="11.7109375" customWidth="1"/>
    <col min="12043" max="12043" width="10.42578125" customWidth="1"/>
    <col min="12289" max="12289" width="4.7109375" customWidth="1"/>
    <col min="12290" max="12290" width="7.42578125" customWidth="1"/>
    <col min="12291" max="12291" width="38.140625" customWidth="1"/>
    <col min="12292" max="12292" width="10" customWidth="1"/>
    <col min="12293" max="12293" width="12.42578125" customWidth="1"/>
    <col min="12294" max="12294" width="6.7109375" customWidth="1"/>
    <col min="12295" max="12295" width="12.5703125" customWidth="1"/>
    <col min="12296" max="12296" width="16" customWidth="1"/>
    <col min="12297" max="12297" width="12.140625" customWidth="1"/>
    <col min="12298" max="12298" width="11.7109375" customWidth="1"/>
    <col min="12299" max="12299" width="10.42578125" customWidth="1"/>
    <col min="12545" max="12545" width="4.7109375" customWidth="1"/>
    <col min="12546" max="12546" width="7.42578125" customWidth="1"/>
    <col min="12547" max="12547" width="38.140625" customWidth="1"/>
    <col min="12548" max="12548" width="10" customWidth="1"/>
    <col min="12549" max="12549" width="12.42578125" customWidth="1"/>
    <col min="12550" max="12550" width="6.7109375" customWidth="1"/>
    <col min="12551" max="12551" width="12.5703125" customWidth="1"/>
    <col min="12552" max="12552" width="16" customWidth="1"/>
    <col min="12553" max="12553" width="12.140625" customWidth="1"/>
    <col min="12554" max="12554" width="11.7109375" customWidth="1"/>
    <col min="12555" max="12555" width="10.42578125" customWidth="1"/>
    <col min="12801" max="12801" width="4.7109375" customWidth="1"/>
    <col min="12802" max="12802" width="7.42578125" customWidth="1"/>
    <col min="12803" max="12803" width="38.140625" customWidth="1"/>
    <col min="12804" max="12804" width="10" customWidth="1"/>
    <col min="12805" max="12805" width="12.42578125" customWidth="1"/>
    <col min="12806" max="12806" width="6.7109375" customWidth="1"/>
    <col min="12807" max="12807" width="12.5703125" customWidth="1"/>
    <col min="12808" max="12808" width="16" customWidth="1"/>
    <col min="12809" max="12809" width="12.140625" customWidth="1"/>
    <col min="12810" max="12810" width="11.7109375" customWidth="1"/>
    <col min="12811" max="12811" width="10.42578125" customWidth="1"/>
    <col min="13057" max="13057" width="4.7109375" customWidth="1"/>
    <col min="13058" max="13058" width="7.42578125" customWidth="1"/>
    <col min="13059" max="13059" width="38.140625" customWidth="1"/>
    <col min="13060" max="13060" width="10" customWidth="1"/>
    <col min="13061" max="13061" width="12.42578125" customWidth="1"/>
    <col min="13062" max="13062" width="6.7109375" customWidth="1"/>
    <col min="13063" max="13063" width="12.5703125" customWidth="1"/>
    <col min="13064" max="13064" width="16" customWidth="1"/>
    <col min="13065" max="13065" width="12.140625" customWidth="1"/>
    <col min="13066" max="13066" width="11.7109375" customWidth="1"/>
    <col min="13067" max="13067" width="10.42578125" customWidth="1"/>
    <col min="13313" max="13313" width="4.7109375" customWidth="1"/>
    <col min="13314" max="13314" width="7.42578125" customWidth="1"/>
    <col min="13315" max="13315" width="38.140625" customWidth="1"/>
    <col min="13316" max="13316" width="10" customWidth="1"/>
    <col min="13317" max="13317" width="12.42578125" customWidth="1"/>
    <col min="13318" max="13318" width="6.7109375" customWidth="1"/>
    <col min="13319" max="13319" width="12.5703125" customWidth="1"/>
    <col min="13320" max="13320" width="16" customWidth="1"/>
    <col min="13321" max="13321" width="12.140625" customWidth="1"/>
    <col min="13322" max="13322" width="11.7109375" customWidth="1"/>
    <col min="13323" max="13323" width="10.42578125" customWidth="1"/>
    <col min="13569" max="13569" width="4.7109375" customWidth="1"/>
    <col min="13570" max="13570" width="7.42578125" customWidth="1"/>
    <col min="13571" max="13571" width="38.140625" customWidth="1"/>
    <col min="13572" max="13572" width="10" customWidth="1"/>
    <col min="13573" max="13573" width="12.42578125" customWidth="1"/>
    <col min="13574" max="13574" width="6.7109375" customWidth="1"/>
    <col min="13575" max="13575" width="12.5703125" customWidth="1"/>
    <col min="13576" max="13576" width="16" customWidth="1"/>
    <col min="13577" max="13577" width="12.140625" customWidth="1"/>
    <col min="13578" max="13578" width="11.7109375" customWidth="1"/>
    <col min="13579" max="13579" width="10.42578125" customWidth="1"/>
    <col min="13825" max="13825" width="4.7109375" customWidth="1"/>
    <col min="13826" max="13826" width="7.42578125" customWidth="1"/>
    <col min="13827" max="13827" width="38.140625" customWidth="1"/>
    <col min="13828" max="13828" width="10" customWidth="1"/>
    <col min="13829" max="13829" width="12.42578125" customWidth="1"/>
    <col min="13830" max="13830" width="6.7109375" customWidth="1"/>
    <col min="13831" max="13831" width="12.5703125" customWidth="1"/>
    <col min="13832" max="13832" width="16" customWidth="1"/>
    <col min="13833" max="13833" width="12.140625" customWidth="1"/>
    <col min="13834" max="13834" width="11.7109375" customWidth="1"/>
    <col min="13835" max="13835" width="10.42578125" customWidth="1"/>
    <col min="14081" max="14081" width="4.7109375" customWidth="1"/>
    <col min="14082" max="14082" width="7.42578125" customWidth="1"/>
    <col min="14083" max="14083" width="38.140625" customWidth="1"/>
    <col min="14084" max="14084" width="10" customWidth="1"/>
    <col min="14085" max="14085" width="12.42578125" customWidth="1"/>
    <col min="14086" max="14086" width="6.7109375" customWidth="1"/>
    <col min="14087" max="14087" width="12.5703125" customWidth="1"/>
    <col min="14088" max="14088" width="16" customWidth="1"/>
    <col min="14089" max="14089" width="12.140625" customWidth="1"/>
    <col min="14090" max="14090" width="11.7109375" customWidth="1"/>
    <col min="14091" max="14091" width="10.42578125" customWidth="1"/>
    <col min="14337" max="14337" width="4.7109375" customWidth="1"/>
    <col min="14338" max="14338" width="7.42578125" customWidth="1"/>
    <col min="14339" max="14339" width="38.140625" customWidth="1"/>
    <col min="14340" max="14340" width="10" customWidth="1"/>
    <col min="14341" max="14341" width="12.42578125" customWidth="1"/>
    <col min="14342" max="14342" width="6.7109375" customWidth="1"/>
    <col min="14343" max="14343" width="12.5703125" customWidth="1"/>
    <col min="14344" max="14344" width="16" customWidth="1"/>
    <col min="14345" max="14345" width="12.140625" customWidth="1"/>
    <col min="14346" max="14346" width="11.7109375" customWidth="1"/>
    <col min="14347" max="14347" width="10.42578125" customWidth="1"/>
    <col min="14593" max="14593" width="4.7109375" customWidth="1"/>
    <col min="14594" max="14594" width="7.42578125" customWidth="1"/>
    <col min="14595" max="14595" width="38.140625" customWidth="1"/>
    <col min="14596" max="14596" width="10" customWidth="1"/>
    <col min="14597" max="14597" width="12.42578125" customWidth="1"/>
    <col min="14598" max="14598" width="6.7109375" customWidth="1"/>
    <col min="14599" max="14599" width="12.5703125" customWidth="1"/>
    <col min="14600" max="14600" width="16" customWidth="1"/>
    <col min="14601" max="14601" width="12.140625" customWidth="1"/>
    <col min="14602" max="14602" width="11.7109375" customWidth="1"/>
    <col min="14603" max="14603" width="10.42578125" customWidth="1"/>
    <col min="14849" max="14849" width="4.7109375" customWidth="1"/>
    <col min="14850" max="14850" width="7.42578125" customWidth="1"/>
    <col min="14851" max="14851" width="38.140625" customWidth="1"/>
    <col min="14852" max="14852" width="10" customWidth="1"/>
    <col min="14853" max="14853" width="12.42578125" customWidth="1"/>
    <col min="14854" max="14854" width="6.7109375" customWidth="1"/>
    <col min="14855" max="14855" width="12.5703125" customWidth="1"/>
    <col min="14856" max="14856" width="16" customWidth="1"/>
    <col min="14857" max="14857" width="12.140625" customWidth="1"/>
    <col min="14858" max="14858" width="11.7109375" customWidth="1"/>
    <col min="14859" max="14859" width="10.42578125" customWidth="1"/>
    <col min="15105" max="15105" width="4.7109375" customWidth="1"/>
    <col min="15106" max="15106" width="7.42578125" customWidth="1"/>
    <col min="15107" max="15107" width="38.140625" customWidth="1"/>
    <col min="15108" max="15108" width="10" customWidth="1"/>
    <col min="15109" max="15109" width="12.42578125" customWidth="1"/>
    <col min="15110" max="15110" width="6.7109375" customWidth="1"/>
    <col min="15111" max="15111" width="12.5703125" customWidth="1"/>
    <col min="15112" max="15112" width="16" customWidth="1"/>
    <col min="15113" max="15113" width="12.140625" customWidth="1"/>
    <col min="15114" max="15114" width="11.7109375" customWidth="1"/>
    <col min="15115" max="15115" width="10.42578125" customWidth="1"/>
    <col min="15361" max="15361" width="4.7109375" customWidth="1"/>
    <col min="15362" max="15362" width="7.42578125" customWidth="1"/>
    <col min="15363" max="15363" width="38.140625" customWidth="1"/>
    <col min="15364" max="15364" width="10" customWidth="1"/>
    <col min="15365" max="15365" width="12.42578125" customWidth="1"/>
    <col min="15366" max="15366" width="6.7109375" customWidth="1"/>
    <col min="15367" max="15367" width="12.5703125" customWidth="1"/>
    <col min="15368" max="15368" width="16" customWidth="1"/>
    <col min="15369" max="15369" width="12.140625" customWidth="1"/>
    <col min="15370" max="15370" width="11.7109375" customWidth="1"/>
    <col min="15371" max="15371" width="10.42578125" customWidth="1"/>
    <col min="15617" max="15617" width="4.7109375" customWidth="1"/>
    <col min="15618" max="15618" width="7.42578125" customWidth="1"/>
    <col min="15619" max="15619" width="38.140625" customWidth="1"/>
    <col min="15620" max="15620" width="10" customWidth="1"/>
    <col min="15621" max="15621" width="12.42578125" customWidth="1"/>
    <col min="15622" max="15622" width="6.7109375" customWidth="1"/>
    <col min="15623" max="15623" width="12.5703125" customWidth="1"/>
    <col min="15624" max="15624" width="16" customWidth="1"/>
    <col min="15625" max="15625" width="12.140625" customWidth="1"/>
    <col min="15626" max="15626" width="11.7109375" customWidth="1"/>
    <col min="15627" max="15627" width="10.42578125" customWidth="1"/>
    <col min="15873" max="15873" width="4.7109375" customWidth="1"/>
    <col min="15874" max="15874" width="7.42578125" customWidth="1"/>
    <col min="15875" max="15875" width="38.140625" customWidth="1"/>
    <col min="15876" max="15876" width="10" customWidth="1"/>
    <col min="15877" max="15877" width="12.42578125" customWidth="1"/>
    <col min="15878" max="15878" width="6.7109375" customWidth="1"/>
    <col min="15879" max="15879" width="12.5703125" customWidth="1"/>
    <col min="15880" max="15880" width="16" customWidth="1"/>
    <col min="15881" max="15881" width="12.140625" customWidth="1"/>
    <col min="15882" max="15882" width="11.7109375" customWidth="1"/>
    <col min="15883" max="15883" width="10.42578125" customWidth="1"/>
    <col min="16129" max="16129" width="4.7109375" customWidth="1"/>
    <col min="16130" max="16130" width="7.42578125" customWidth="1"/>
    <col min="16131" max="16131" width="38.140625" customWidth="1"/>
    <col min="16132" max="16132" width="10" customWidth="1"/>
    <col min="16133" max="16133" width="12.42578125" customWidth="1"/>
    <col min="16134" max="16134" width="6.7109375" customWidth="1"/>
    <col min="16135" max="16135" width="12.5703125" customWidth="1"/>
    <col min="16136" max="16136" width="16" customWidth="1"/>
    <col min="16137" max="16137" width="12.140625" customWidth="1"/>
    <col min="16138" max="16138" width="11.7109375" customWidth="1"/>
    <col min="16139" max="16139" width="10.42578125" customWidth="1"/>
  </cols>
  <sheetData>
    <row r="1" spans="1:11" ht="21" customHeight="1" x14ac:dyDescent="0.25">
      <c r="A1" s="481" t="s">
        <v>205</v>
      </c>
      <c r="B1" s="481"/>
      <c r="C1" s="481"/>
      <c r="D1" s="481"/>
      <c r="E1" s="481"/>
      <c r="F1" s="481"/>
      <c r="G1" s="481"/>
      <c r="H1" s="481"/>
      <c r="I1" s="481"/>
      <c r="J1" s="481"/>
      <c r="K1" s="22" t="s">
        <v>206</v>
      </c>
    </row>
    <row r="2" spans="1:11" ht="21" customHeight="1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</row>
    <row r="3" spans="1:11" x14ac:dyDescent="0.25">
      <c r="A3" s="496" t="s">
        <v>2</v>
      </c>
      <c r="B3" s="496" t="s">
        <v>68</v>
      </c>
      <c r="C3" s="498" t="s">
        <v>182</v>
      </c>
      <c r="D3" s="500" t="s">
        <v>4</v>
      </c>
      <c r="E3" s="501"/>
      <c r="F3" s="502"/>
      <c r="G3" s="494" t="s">
        <v>207</v>
      </c>
      <c r="H3" s="47" t="s">
        <v>208</v>
      </c>
      <c r="I3" s="494" t="s">
        <v>209</v>
      </c>
      <c r="J3" s="506" t="s">
        <v>210</v>
      </c>
      <c r="K3" s="494" t="s">
        <v>211</v>
      </c>
    </row>
    <row r="4" spans="1:11" ht="97.5" customHeight="1" x14ac:dyDescent="0.25">
      <c r="A4" s="497"/>
      <c r="B4" s="497"/>
      <c r="C4" s="499"/>
      <c r="D4" s="503"/>
      <c r="E4" s="504"/>
      <c r="F4" s="505"/>
      <c r="G4" s="495"/>
      <c r="H4" s="48" t="s">
        <v>212</v>
      </c>
      <c r="I4" s="495"/>
      <c r="J4" s="495"/>
      <c r="K4" s="495"/>
    </row>
    <row r="5" spans="1:11" ht="15" customHeight="1" x14ac:dyDescent="0.25">
      <c r="A5" s="193"/>
      <c r="B5" s="193"/>
      <c r="C5" s="194"/>
      <c r="D5" s="49" t="s">
        <v>213</v>
      </c>
      <c r="E5" s="50" t="s">
        <v>6</v>
      </c>
      <c r="F5" s="51" t="s">
        <v>70</v>
      </c>
      <c r="G5" s="192"/>
      <c r="H5" s="52"/>
      <c r="I5" s="192"/>
      <c r="J5" s="192"/>
      <c r="K5" s="192"/>
    </row>
    <row r="6" spans="1:11" s="20" customFormat="1" ht="16.5" hidden="1" customHeight="1" x14ac:dyDescent="0.25">
      <c r="A6" s="35"/>
      <c r="B6" s="35" t="s">
        <v>71</v>
      </c>
      <c r="C6" s="53" t="s">
        <v>72</v>
      </c>
      <c r="D6" s="36">
        <v>0</v>
      </c>
      <c r="E6" s="37">
        <v>0</v>
      </c>
      <c r="F6" s="54" t="e">
        <f>E6/D6*100</f>
        <v>#DIV/0!</v>
      </c>
      <c r="G6" s="37">
        <f>E6-I6-K6-J6</f>
        <v>0</v>
      </c>
      <c r="H6" s="37">
        <v>0</v>
      </c>
      <c r="I6" s="37">
        <v>0</v>
      </c>
      <c r="J6" s="37">
        <v>0</v>
      </c>
      <c r="K6" s="37">
        <v>0</v>
      </c>
    </row>
    <row r="7" spans="1:11" s="20" customFormat="1" ht="13.5" hidden="1" customHeight="1" x14ac:dyDescent="0.25">
      <c r="A7" s="35"/>
      <c r="B7" s="35" t="s">
        <v>75</v>
      </c>
      <c r="C7" s="55" t="s">
        <v>76</v>
      </c>
      <c r="D7" s="36">
        <v>0</v>
      </c>
      <c r="E7" s="37">
        <v>0</v>
      </c>
      <c r="F7" s="54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</row>
    <row r="8" spans="1:11" s="20" customFormat="1" ht="30" hidden="1" x14ac:dyDescent="0.25">
      <c r="A8" s="35"/>
      <c r="B8" s="35" t="s">
        <v>77</v>
      </c>
      <c r="C8" s="53" t="s">
        <v>214</v>
      </c>
      <c r="D8" s="36">
        <v>0</v>
      </c>
      <c r="E8" s="37">
        <v>0</v>
      </c>
      <c r="F8" s="54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</row>
    <row r="9" spans="1:11" s="20" customFormat="1" ht="19.5" customHeight="1" x14ac:dyDescent="0.25">
      <c r="A9" s="114"/>
      <c r="B9" s="114" t="s">
        <v>398</v>
      </c>
      <c r="C9" s="352" t="s">
        <v>399</v>
      </c>
      <c r="D9" s="116">
        <v>1909927</v>
      </c>
      <c r="E9" s="116">
        <v>103910.49</v>
      </c>
      <c r="F9" s="116">
        <f t="shared" ref="F9:F35" si="0">E9/D9*100</f>
        <v>5.4405477277403804</v>
      </c>
      <c r="G9" s="116">
        <f>E9</f>
        <v>103910.49</v>
      </c>
      <c r="H9" s="116">
        <v>0</v>
      </c>
      <c r="I9" s="116">
        <v>0</v>
      </c>
      <c r="J9" s="116">
        <v>0</v>
      </c>
      <c r="K9" s="116">
        <v>0</v>
      </c>
    </row>
    <row r="10" spans="1:11" s="20" customFormat="1" ht="19.5" customHeight="1" x14ac:dyDescent="0.25">
      <c r="A10" s="114"/>
      <c r="B10" s="114" t="s">
        <v>78</v>
      </c>
      <c r="C10" s="352" t="s">
        <v>79</v>
      </c>
      <c r="D10" s="116">
        <f>300000+1216663+695428</f>
        <v>2212091</v>
      </c>
      <c r="E10" s="116">
        <v>1902035.33</v>
      </c>
      <c r="F10" s="116">
        <f>E10/D10*100</f>
        <v>85.983593351268112</v>
      </c>
      <c r="G10" s="116">
        <f>E10</f>
        <v>1902035.33</v>
      </c>
      <c r="H10" s="116">
        <f>989156+565388.95</f>
        <v>1554544.95</v>
      </c>
      <c r="I10" s="116">
        <v>0</v>
      </c>
      <c r="J10" s="116">
        <v>0</v>
      </c>
      <c r="K10" s="116">
        <v>0</v>
      </c>
    </row>
    <row r="11" spans="1:11" s="27" customFormat="1" ht="19.5" customHeight="1" x14ac:dyDescent="0.2">
      <c r="A11" s="111" t="s">
        <v>16</v>
      </c>
      <c r="B11" s="111"/>
      <c r="C11" s="112" t="s">
        <v>17</v>
      </c>
      <c r="D11" s="230">
        <f>D9+D10</f>
        <v>4122018</v>
      </c>
      <c r="E11" s="230">
        <f>E9+E10</f>
        <v>2005945.82</v>
      </c>
      <c r="F11" s="113">
        <f t="shared" si="0"/>
        <v>48.66416934617947</v>
      </c>
      <c r="G11" s="230">
        <f>G9+G10</f>
        <v>2005945.82</v>
      </c>
      <c r="H11" s="230">
        <f>H10</f>
        <v>1554544.95</v>
      </c>
      <c r="I11" s="230">
        <f>I9</f>
        <v>0</v>
      </c>
      <c r="J11" s="230">
        <f>J9</f>
        <v>0</v>
      </c>
      <c r="K11" s="230">
        <f>K9</f>
        <v>0</v>
      </c>
    </row>
    <row r="12" spans="1:11" s="56" customFormat="1" ht="19.5" customHeight="1" x14ac:dyDescent="0.2">
      <c r="A12" s="114"/>
      <c r="B12" s="114" t="s">
        <v>82</v>
      </c>
      <c r="C12" s="353" t="s">
        <v>83</v>
      </c>
      <c r="D12" s="116">
        <v>170000</v>
      </c>
      <c r="E12" s="116">
        <v>100000</v>
      </c>
      <c r="F12" s="116">
        <f t="shared" si="0"/>
        <v>58.82352941176471</v>
      </c>
      <c r="G12" s="116">
        <v>0</v>
      </c>
      <c r="H12" s="116">
        <v>0</v>
      </c>
      <c r="I12" s="116">
        <v>0</v>
      </c>
      <c r="J12" s="116">
        <v>0</v>
      </c>
      <c r="K12" s="116">
        <v>100000</v>
      </c>
    </row>
    <row r="13" spans="1:11" s="56" customFormat="1" ht="19.5" customHeight="1" x14ac:dyDescent="0.2">
      <c r="A13" s="114"/>
      <c r="B13" s="114" t="s">
        <v>333</v>
      </c>
      <c r="C13" s="353" t="s">
        <v>370</v>
      </c>
      <c r="D13" s="116">
        <v>552123</v>
      </c>
      <c r="E13" s="116">
        <v>540737.79</v>
      </c>
      <c r="F13" s="116">
        <f t="shared" si="0"/>
        <v>97.937921441417956</v>
      </c>
      <c r="G13" s="116">
        <v>0</v>
      </c>
      <c r="H13" s="116">
        <v>0</v>
      </c>
      <c r="I13" s="116">
        <v>0</v>
      </c>
      <c r="J13" s="116">
        <v>0</v>
      </c>
      <c r="K13" s="116">
        <v>540737.79</v>
      </c>
    </row>
    <row r="14" spans="1:11" s="20" customFormat="1" ht="19.5" customHeight="1" x14ac:dyDescent="0.25">
      <c r="A14" s="114"/>
      <c r="B14" s="114" t="s">
        <v>84</v>
      </c>
      <c r="C14" s="115" t="s">
        <v>85</v>
      </c>
      <c r="D14" s="116">
        <v>69137</v>
      </c>
      <c r="E14" s="116">
        <v>40137</v>
      </c>
      <c r="F14" s="116">
        <f t="shared" si="0"/>
        <v>58.054297988052703</v>
      </c>
      <c r="G14" s="116">
        <f>E14</f>
        <v>40137</v>
      </c>
      <c r="H14" s="116">
        <v>0</v>
      </c>
      <c r="I14" s="116">
        <v>0</v>
      </c>
      <c r="J14" s="116">
        <v>0</v>
      </c>
      <c r="K14" s="116">
        <v>0</v>
      </c>
    </row>
    <row r="15" spans="1:11" s="56" customFormat="1" ht="19.5" customHeight="1" x14ac:dyDescent="0.2">
      <c r="A15" s="111" t="s">
        <v>19</v>
      </c>
      <c r="B15" s="111"/>
      <c r="C15" s="112" t="s">
        <v>20</v>
      </c>
      <c r="D15" s="113">
        <f>SUM(D12:D14)</f>
        <v>791260</v>
      </c>
      <c r="E15" s="113">
        <f>SUM(E12:E14)</f>
        <v>680874.79</v>
      </c>
      <c r="F15" s="113">
        <f t="shared" si="0"/>
        <v>86.049438869650942</v>
      </c>
      <c r="G15" s="113">
        <f>SUM(G12:G14)</f>
        <v>40137</v>
      </c>
      <c r="H15" s="113">
        <f t="shared" ref="H15:K15" si="1">SUM(H12:H14)</f>
        <v>0</v>
      </c>
      <c r="I15" s="113">
        <f t="shared" si="1"/>
        <v>0</v>
      </c>
      <c r="J15" s="113">
        <f t="shared" si="1"/>
        <v>0</v>
      </c>
      <c r="K15" s="113">
        <f t="shared" si="1"/>
        <v>640737.79</v>
      </c>
    </row>
    <row r="16" spans="1:11" s="354" customFormat="1" ht="19.5" customHeight="1" x14ac:dyDescent="0.2">
      <c r="A16" s="186"/>
      <c r="B16" s="186" t="s">
        <v>86</v>
      </c>
      <c r="C16" s="352" t="s">
        <v>87</v>
      </c>
      <c r="D16" s="187">
        <f>17535+143115</f>
        <v>160650</v>
      </c>
      <c r="E16" s="187">
        <f>16309.8+142215.11</f>
        <v>158524.90999999997</v>
      </c>
      <c r="F16" s="187">
        <f t="shared" si="0"/>
        <v>98.6771926548397</v>
      </c>
      <c r="G16" s="187">
        <f>E16</f>
        <v>158524.90999999997</v>
      </c>
      <c r="H16" s="187">
        <v>0</v>
      </c>
      <c r="I16" s="187">
        <v>0</v>
      </c>
      <c r="J16" s="187">
        <v>0</v>
      </c>
      <c r="K16" s="187">
        <v>0</v>
      </c>
    </row>
    <row r="17" spans="1:11" s="56" customFormat="1" ht="19.5" customHeight="1" x14ac:dyDescent="0.2">
      <c r="A17" s="111" t="s">
        <v>22</v>
      </c>
      <c r="B17" s="111"/>
      <c r="C17" s="112" t="s">
        <v>23</v>
      </c>
      <c r="D17" s="113">
        <f>D16</f>
        <v>160650</v>
      </c>
      <c r="E17" s="113">
        <f>E16</f>
        <v>158524.90999999997</v>
      </c>
      <c r="F17" s="113">
        <f t="shared" si="0"/>
        <v>98.6771926548397</v>
      </c>
      <c r="G17" s="113">
        <f>G16</f>
        <v>158524.90999999997</v>
      </c>
      <c r="H17" s="113">
        <v>0</v>
      </c>
      <c r="I17" s="113">
        <v>0</v>
      </c>
      <c r="J17" s="113">
        <v>0</v>
      </c>
      <c r="K17" s="113">
        <v>0</v>
      </c>
    </row>
    <row r="18" spans="1:11" s="20" customFormat="1" ht="19.5" customHeight="1" x14ac:dyDescent="0.25">
      <c r="A18" s="114"/>
      <c r="B18" s="114" t="s">
        <v>402</v>
      </c>
      <c r="C18" s="115" t="s">
        <v>79</v>
      </c>
      <c r="D18" s="116">
        <v>100000</v>
      </c>
      <c r="E18" s="116">
        <v>100000</v>
      </c>
      <c r="F18" s="116">
        <f t="shared" si="0"/>
        <v>100</v>
      </c>
      <c r="G18" s="116">
        <f>E18</f>
        <v>100000</v>
      </c>
      <c r="H18" s="116">
        <v>100000</v>
      </c>
      <c r="I18" s="116">
        <v>0</v>
      </c>
      <c r="J18" s="116">
        <v>0</v>
      </c>
      <c r="K18" s="116">
        <v>0</v>
      </c>
    </row>
    <row r="19" spans="1:11" s="56" customFormat="1" ht="19.5" customHeight="1" x14ac:dyDescent="0.2">
      <c r="A19" s="111" t="s">
        <v>387</v>
      </c>
      <c r="B19" s="111"/>
      <c r="C19" s="112" t="s">
        <v>403</v>
      </c>
      <c r="D19" s="113">
        <f>D18</f>
        <v>100000</v>
      </c>
      <c r="E19" s="113">
        <f>E18</f>
        <v>100000</v>
      </c>
      <c r="F19" s="113">
        <f t="shared" si="0"/>
        <v>100</v>
      </c>
      <c r="G19" s="113">
        <f>G18</f>
        <v>100000</v>
      </c>
      <c r="H19" s="113">
        <f t="shared" ref="H19:K19" si="2">H18</f>
        <v>100000</v>
      </c>
      <c r="I19" s="113">
        <f t="shared" si="2"/>
        <v>0</v>
      </c>
      <c r="J19" s="113">
        <f t="shared" si="2"/>
        <v>0</v>
      </c>
      <c r="K19" s="113">
        <f t="shared" si="2"/>
        <v>0</v>
      </c>
    </row>
    <row r="20" spans="1:11" s="20" customFormat="1" ht="19.5" customHeight="1" x14ac:dyDescent="0.25">
      <c r="A20" s="114"/>
      <c r="B20" s="114" t="s">
        <v>411</v>
      </c>
      <c r="C20" s="352" t="s">
        <v>412</v>
      </c>
      <c r="D20" s="116">
        <v>30000</v>
      </c>
      <c r="E20" s="116">
        <v>30000</v>
      </c>
      <c r="F20" s="116">
        <f t="shared" si="0"/>
        <v>100</v>
      </c>
      <c r="G20" s="116">
        <v>0</v>
      </c>
      <c r="H20" s="116">
        <v>0</v>
      </c>
      <c r="I20" s="116">
        <v>0</v>
      </c>
      <c r="J20" s="116">
        <v>0</v>
      </c>
      <c r="K20" s="116">
        <v>30000</v>
      </c>
    </row>
    <row r="21" spans="1:11" s="20" customFormat="1" ht="19.5" customHeight="1" x14ac:dyDescent="0.25">
      <c r="A21" s="166"/>
      <c r="B21" s="166" t="s">
        <v>107</v>
      </c>
      <c r="C21" s="384" t="s">
        <v>108</v>
      </c>
      <c r="D21" s="116">
        <f>200000+34021</f>
        <v>234021</v>
      </c>
      <c r="E21" s="116">
        <f>200000+34020.57</f>
        <v>234020.57</v>
      </c>
      <c r="F21" s="116">
        <f>E21/D21*100</f>
        <v>99.99981625580611</v>
      </c>
      <c r="G21" s="116">
        <v>34020.57</v>
      </c>
      <c r="H21" s="116">
        <v>0</v>
      </c>
      <c r="I21" s="116">
        <v>0</v>
      </c>
      <c r="J21" s="116">
        <v>0</v>
      </c>
      <c r="K21" s="116">
        <v>200000</v>
      </c>
    </row>
    <row r="22" spans="1:11" s="56" customFormat="1" ht="30.75" customHeight="1" x14ac:dyDescent="0.2">
      <c r="A22" s="176" t="s">
        <v>28</v>
      </c>
      <c r="B22" s="176"/>
      <c r="C22" s="251" t="s">
        <v>29</v>
      </c>
      <c r="D22" s="113">
        <f>D20+D21</f>
        <v>264021</v>
      </c>
      <c r="E22" s="113">
        <f>E20+E21</f>
        <v>264020.57</v>
      </c>
      <c r="F22" s="113">
        <f t="shared" si="0"/>
        <v>99.999837134167365</v>
      </c>
      <c r="G22" s="113">
        <f>G21</f>
        <v>34020.57</v>
      </c>
      <c r="H22" s="113">
        <f>H20</f>
        <v>0</v>
      </c>
      <c r="I22" s="113">
        <f>I20</f>
        <v>0</v>
      </c>
      <c r="J22" s="113">
        <f>J20</f>
        <v>0</v>
      </c>
      <c r="K22" s="113">
        <f>K20+K21</f>
        <v>230000</v>
      </c>
    </row>
    <row r="23" spans="1:11" s="56" customFormat="1" ht="19.5" customHeight="1" x14ac:dyDescent="0.2">
      <c r="A23" s="114"/>
      <c r="B23" s="114" t="s">
        <v>443</v>
      </c>
      <c r="C23" s="352" t="s">
        <v>444</v>
      </c>
      <c r="D23" s="116">
        <v>5000</v>
      </c>
      <c r="E23" s="116">
        <v>5000</v>
      </c>
      <c r="F23" s="116">
        <v>100</v>
      </c>
      <c r="G23" s="116">
        <v>0</v>
      </c>
      <c r="H23" s="116">
        <v>0</v>
      </c>
      <c r="I23" s="116">
        <v>0</v>
      </c>
      <c r="J23" s="116">
        <v>0</v>
      </c>
      <c r="K23" s="116">
        <v>5000</v>
      </c>
    </row>
    <row r="24" spans="1:11" s="56" customFormat="1" ht="19.5" customHeight="1" x14ac:dyDescent="0.2">
      <c r="A24" s="385" t="s">
        <v>139</v>
      </c>
      <c r="B24" s="385"/>
      <c r="C24" s="386" t="s">
        <v>140</v>
      </c>
      <c r="D24" s="387">
        <v>5000</v>
      </c>
      <c r="E24" s="387">
        <v>5000</v>
      </c>
      <c r="F24" s="387">
        <v>100</v>
      </c>
      <c r="G24" s="387">
        <v>0</v>
      </c>
      <c r="H24" s="387">
        <v>0</v>
      </c>
      <c r="I24" s="387">
        <v>0</v>
      </c>
      <c r="J24" s="387">
        <v>0</v>
      </c>
      <c r="K24" s="387">
        <v>5000</v>
      </c>
    </row>
    <row r="25" spans="1:11" s="354" customFormat="1" ht="19.5" customHeight="1" x14ac:dyDescent="0.2">
      <c r="A25" s="389"/>
      <c r="B25" s="389" t="s">
        <v>118</v>
      </c>
      <c r="C25" s="401" t="s">
        <v>119</v>
      </c>
      <c r="D25" s="391">
        <v>39238</v>
      </c>
      <c r="E25" s="391">
        <v>39237.01</v>
      </c>
      <c r="F25" s="391">
        <f>E25/D25*100</f>
        <v>99.997476935623624</v>
      </c>
      <c r="G25" s="391">
        <f>E25</f>
        <v>39237.01</v>
      </c>
      <c r="H25" s="391">
        <v>0</v>
      </c>
      <c r="I25" s="391">
        <v>0</v>
      </c>
      <c r="J25" s="391">
        <v>0</v>
      </c>
      <c r="K25" s="391">
        <v>0</v>
      </c>
    </row>
    <row r="26" spans="1:11" s="56" customFormat="1" ht="19.5" customHeight="1" x14ac:dyDescent="0.2">
      <c r="A26" s="385" t="s">
        <v>53</v>
      </c>
      <c r="B26" s="385"/>
      <c r="C26" s="402" t="s">
        <v>54</v>
      </c>
      <c r="D26" s="387">
        <f>D25</f>
        <v>39238</v>
      </c>
      <c r="E26" s="387">
        <f>E25</f>
        <v>39237.01</v>
      </c>
      <c r="F26" s="387">
        <f>E26/D26*100</f>
        <v>99.997476935623624</v>
      </c>
      <c r="G26" s="387">
        <f>E26</f>
        <v>39237.01</v>
      </c>
      <c r="H26" s="387">
        <v>0</v>
      </c>
      <c r="I26" s="387">
        <v>0</v>
      </c>
      <c r="J26" s="387">
        <v>0</v>
      </c>
      <c r="K26" s="387">
        <v>0</v>
      </c>
    </row>
    <row r="27" spans="1:11" s="354" customFormat="1" ht="30.75" customHeight="1" x14ac:dyDescent="0.2">
      <c r="A27" s="389"/>
      <c r="B27" s="389" t="s">
        <v>164</v>
      </c>
      <c r="C27" s="390" t="s">
        <v>165</v>
      </c>
      <c r="D27" s="391">
        <v>18450</v>
      </c>
      <c r="E27" s="391">
        <v>18450</v>
      </c>
      <c r="F27" s="391">
        <v>100</v>
      </c>
      <c r="G27" s="391">
        <f>E27</f>
        <v>18450</v>
      </c>
      <c r="H27" s="391">
        <v>0</v>
      </c>
      <c r="I27" s="391">
        <v>0</v>
      </c>
      <c r="J27" s="391">
        <v>0</v>
      </c>
      <c r="K27" s="391">
        <v>0</v>
      </c>
    </row>
    <row r="28" spans="1:11" s="56" customFormat="1" ht="19.5" customHeight="1" x14ac:dyDescent="0.2">
      <c r="A28" s="114"/>
      <c r="B28" s="114" t="s">
        <v>166</v>
      </c>
      <c r="C28" s="352" t="s">
        <v>79</v>
      </c>
      <c r="D28" s="116">
        <v>115866</v>
      </c>
      <c r="E28" s="116">
        <v>94200</v>
      </c>
      <c r="F28" s="116">
        <f>E28/D28*100</f>
        <v>81.300813008130078</v>
      </c>
      <c r="G28" s="116">
        <v>0</v>
      </c>
      <c r="H28" s="116">
        <v>0</v>
      </c>
      <c r="I28" s="116">
        <v>0</v>
      </c>
      <c r="J28" s="116">
        <v>0</v>
      </c>
      <c r="K28" s="116">
        <f>E28</f>
        <v>94200</v>
      </c>
    </row>
    <row r="29" spans="1:11" s="56" customFormat="1" ht="30.75" customHeight="1" x14ac:dyDescent="0.2">
      <c r="A29" s="385" t="s">
        <v>61</v>
      </c>
      <c r="B29" s="385"/>
      <c r="C29" s="388" t="s">
        <v>202</v>
      </c>
      <c r="D29" s="387">
        <v>134316</v>
      </c>
      <c r="E29" s="387">
        <v>112650</v>
      </c>
      <c r="F29" s="387">
        <f>E29/D29*100</f>
        <v>83.869382649870445</v>
      </c>
      <c r="G29" s="387">
        <f>G27</f>
        <v>18450</v>
      </c>
      <c r="H29" s="387">
        <v>0</v>
      </c>
      <c r="I29" s="387">
        <v>0</v>
      </c>
      <c r="J29" s="387">
        <v>0</v>
      </c>
      <c r="K29" s="387">
        <f>K28</f>
        <v>94200</v>
      </c>
    </row>
    <row r="30" spans="1:11" s="354" customFormat="1" ht="21.75" customHeight="1" x14ac:dyDescent="0.2">
      <c r="A30" s="389"/>
      <c r="B30" s="389" t="s">
        <v>447</v>
      </c>
      <c r="C30" s="390" t="s">
        <v>448</v>
      </c>
      <c r="D30" s="391">
        <v>207027.95</v>
      </c>
      <c r="E30" s="391">
        <v>207027.45</v>
      </c>
      <c r="F30" s="391">
        <v>100</v>
      </c>
      <c r="G30" s="391">
        <f>E30</f>
        <v>207027.45</v>
      </c>
      <c r="H30" s="391">
        <v>0</v>
      </c>
      <c r="I30" s="391">
        <v>0</v>
      </c>
      <c r="J30" s="391">
        <v>0</v>
      </c>
      <c r="K30" s="391">
        <v>0</v>
      </c>
    </row>
    <row r="31" spans="1:11" s="56" customFormat="1" ht="19.5" customHeight="1" x14ac:dyDescent="0.2">
      <c r="A31" s="114"/>
      <c r="B31" s="114" t="s">
        <v>169</v>
      </c>
      <c r="C31" s="115" t="s">
        <v>170</v>
      </c>
      <c r="D31" s="116">
        <v>94000</v>
      </c>
      <c r="E31" s="116">
        <v>0</v>
      </c>
      <c r="F31" s="116">
        <f>E31/D31*100</f>
        <v>0</v>
      </c>
      <c r="G31" s="116">
        <f>E31</f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1:11" s="56" customFormat="1" ht="27.75" customHeight="1" x14ac:dyDescent="0.2">
      <c r="A32" s="385" t="s">
        <v>172</v>
      </c>
      <c r="B32" s="385"/>
      <c r="C32" s="392" t="s">
        <v>203</v>
      </c>
      <c r="D32" s="387">
        <f>94000+D30</f>
        <v>301027.95</v>
      </c>
      <c r="E32" s="387">
        <f>E30</f>
        <v>207027.45</v>
      </c>
      <c r="F32" s="387">
        <f>E32/D32*100</f>
        <v>68.773497610437843</v>
      </c>
      <c r="G32" s="387">
        <f>G30</f>
        <v>207027.45</v>
      </c>
      <c r="H32" s="387">
        <v>0</v>
      </c>
      <c r="I32" s="387">
        <v>0</v>
      </c>
      <c r="J32" s="387">
        <v>0</v>
      </c>
      <c r="K32" s="387">
        <v>0</v>
      </c>
    </row>
    <row r="33" spans="1:11" s="188" customFormat="1" ht="19.5" customHeight="1" x14ac:dyDescent="0.25">
      <c r="A33" s="186"/>
      <c r="B33" s="186" t="s">
        <v>174</v>
      </c>
      <c r="C33" s="164" t="s">
        <v>175</v>
      </c>
      <c r="D33" s="393">
        <v>106305</v>
      </c>
      <c r="E33" s="187">
        <f>66005+34999.99</f>
        <v>101004.98999999999</v>
      </c>
      <c r="F33" s="187">
        <f t="shared" si="0"/>
        <v>95.014336108367431</v>
      </c>
      <c r="G33" s="187">
        <f>E33</f>
        <v>101004.98999999999</v>
      </c>
      <c r="H33" s="187">
        <v>0</v>
      </c>
      <c r="I33" s="187">
        <v>0</v>
      </c>
      <c r="J33" s="187">
        <v>0</v>
      </c>
      <c r="K33" s="187">
        <v>0</v>
      </c>
    </row>
    <row r="34" spans="1:11" s="56" customFormat="1" ht="19.5" customHeight="1" x14ac:dyDescent="0.2">
      <c r="A34" s="111" t="s">
        <v>178</v>
      </c>
      <c r="B34" s="111"/>
      <c r="C34" s="179" t="s">
        <v>179</v>
      </c>
      <c r="D34" s="113">
        <f>SUM(D33:D33)</f>
        <v>106305</v>
      </c>
      <c r="E34" s="113">
        <f>SUM(E33:E33)</f>
        <v>101004.98999999999</v>
      </c>
      <c r="F34" s="113">
        <f t="shared" si="0"/>
        <v>95.014336108367431</v>
      </c>
      <c r="G34" s="113">
        <f>SUM(G33:G33)</f>
        <v>101004.98999999999</v>
      </c>
      <c r="H34" s="113">
        <f>SUM(H33:H33)</f>
        <v>0</v>
      </c>
      <c r="I34" s="113">
        <f>SUM(I33:I33)</f>
        <v>0</v>
      </c>
      <c r="J34" s="113">
        <f>SUM(J33:J33)</f>
        <v>0</v>
      </c>
      <c r="K34" s="113">
        <f>SUM(K33:K33)</f>
        <v>0</v>
      </c>
    </row>
    <row r="35" spans="1:11" s="56" customFormat="1" ht="19.5" customHeight="1" x14ac:dyDescent="0.2">
      <c r="A35" s="252"/>
      <c r="B35" s="253"/>
      <c r="C35" s="254" t="s">
        <v>63</v>
      </c>
      <c r="D35" s="231">
        <f>D34+D32+D29+D24+D22+D19+D17+D15+D11+D26</f>
        <v>6023835.9500000002</v>
      </c>
      <c r="E35" s="231">
        <f>E34+E32+E29+E24+E22+E19+E17+E15+E11+E26</f>
        <v>3674285.54</v>
      </c>
      <c r="F35" s="232">
        <f t="shared" si="0"/>
        <v>60.995776951727912</v>
      </c>
      <c r="G35" s="231">
        <f>G34+G32+G29+G24+G22+G19+G17+G15+G11+G26</f>
        <v>2704347.75</v>
      </c>
      <c r="H35" s="231">
        <f>H34+H32+H29+H24+H22+H19+H17+H15+H11</f>
        <v>1654544.95</v>
      </c>
      <c r="I35" s="231">
        <v>0</v>
      </c>
      <c r="J35" s="231">
        <v>0</v>
      </c>
      <c r="K35" s="231">
        <f>K29+K24+K22+K15</f>
        <v>969937.79</v>
      </c>
    </row>
    <row r="36" spans="1:11" s="59" customFormat="1" x14ac:dyDescent="0.25">
      <c r="A36" s="58"/>
      <c r="B36" s="58"/>
      <c r="D36" s="60"/>
      <c r="E36" s="61"/>
      <c r="F36" s="62"/>
      <c r="G36" s="61"/>
      <c r="H36" s="61"/>
      <c r="I36" s="61"/>
      <c r="J36" s="61"/>
      <c r="K36" s="61"/>
    </row>
    <row r="37" spans="1:11" s="59" customFormat="1" x14ac:dyDescent="0.25">
      <c r="A37" s="58"/>
      <c r="B37" s="58"/>
      <c r="D37" s="60"/>
      <c r="E37" s="61"/>
      <c r="F37" s="62"/>
      <c r="G37" s="61"/>
      <c r="H37" s="61"/>
      <c r="I37" s="61"/>
      <c r="J37" s="61"/>
      <c r="K37" s="61"/>
    </row>
    <row r="38" spans="1:11" s="59" customFormat="1" x14ac:dyDescent="0.25">
      <c r="A38" s="58"/>
      <c r="B38" s="58"/>
      <c r="D38" s="60"/>
      <c r="E38" s="61"/>
      <c r="F38" s="62"/>
      <c r="G38" s="61"/>
      <c r="H38" s="61"/>
      <c r="I38" s="61"/>
      <c r="J38" s="61"/>
      <c r="K38" s="61"/>
    </row>
    <row r="39" spans="1:11" s="59" customFormat="1" x14ac:dyDescent="0.25">
      <c r="A39" s="58"/>
      <c r="B39" s="58"/>
      <c r="D39" s="60"/>
      <c r="E39" s="61"/>
      <c r="F39" s="62"/>
      <c r="G39" s="61"/>
      <c r="H39" s="61"/>
      <c r="I39" s="61"/>
      <c r="J39" s="61"/>
      <c r="K39" s="61"/>
    </row>
    <row r="40" spans="1:11" s="59" customFormat="1" x14ac:dyDescent="0.25">
      <c r="A40" s="58"/>
      <c r="B40" s="58"/>
      <c r="D40" s="60"/>
      <c r="E40" s="61"/>
      <c r="F40" s="62"/>
      <c r="G40" s="61"/>
      <c r="H40" s="61"/>
      <c r="I40" s="61"/>
      <c r="J40" s="61"/>
      <c r="K40" s="61"/>
    </row>
    <row r="41" spans="1:11" s="59" customFormat="1" x14ac:dyDescent="0.25">
      <c r="A41" s="58"/>
      <c r="B41" s="58"/>
      <c r="D41" s="60"/>
      <c r="E41" s="61"/>
      <c r="F41" s="62"/>
      <c r="G41" s="61"/>
      <c r="H41" s="61"/>
      <c r="I41" s="61"/>
      <c r="J41" s="61"/>
      <c r="K41" s="61"/>
    </row>
    <row r="42" spans="1:11" s="59" customFormat="1" x14ac:dyDescent="0.25">
      <c r="A42" s="58"/>
      <c r="B42" s="58"/>
      <c r="D42" s="60"/>
      <c r="E42" s="61"/>
      <c r="F42" s="62"/>
      <c r="G42" s="61"/>
      <c r="H42" s="61"/>
      <c r="I42" s="61"/>
      <c r="J42" s="61"/>
      <c r="K42" s="61"/>
    </row>
    <row r="43" spans="1:11" s="59" customFormat="1" x14ac:dyDescent="0.25">
      <c r="A43" s="58"/>
      <c r="B43" s="58"/>
      <c r="D43" s="60"/>
      <c r="E43" s="61"/>
      <c r="F43" s="62"/>
      <c r="G43" s="61"/>
      <c r="H43" s="61"/>
      <c r="I43" s="61"/>
      <c r="J43" s="61"/>
      <c r="K43" s="61"/>
    </row>
    <row r="44" spans="1:11" s="20" customFormat="1" x14ac:dyDescent="0.25">
      <c r="A44" s="19"/>
      <c r="B44" s="19"/>
      <c r="D44" s="63"/>
      <c r="E44" s="64"/>
      <c r="F44" s="65"/>
      <c r="G44" s="64"/>
      <c r="H44" s="64"/>
      <c r="I44" s="64"/>
      <c r="J44" s="64"/>
      <c r="K44" s="64"/>
    </row>
    <row r="45" spans="1:11" s="20" customFormat="1" x14ac:dyDescent="0.25">
      <c r="A45" s="19"/>
      <c r="B45" s="19"/>
      <c r="D45" s="63"/>
      <c r="E45" s="64"/>
      <c r="F45" s="65"/>
      <c r="G45" s="64"/>
      <c r="H45" s="64"/>
      <c r="I45" s="64"/>
      <c r="J45" s="64"/>
      <c r="K45" s="64"/>
    </row>
    <row r="46" spans="1:11" s="20" customFormat="1" x14ac:dyDescent="0.25">
      <c r="A46" s="19"/>
      <c r="B46" s="19"/>
      <c r="D46" s="63"/>
      <c r="E46" s="64"/>
      <c r="F46" s="65"/>
      <c r="G46" s="64"/>
      <c r="H46" s="64"/>
      <c r="I46" s="64"/>
      <c r="J46" s="64"/>
      <c r="K46" s="64"/>
    </row>
    <row r="47" spans="1:11" s="20" customFormat="1" x14ac:dyDescent="0.25">
      <c r="A47" s="19"/>
      <c r="B47" s="19"/>
      <c r="D47" s="63"/>
      <c r="E47" s="64"/>
      <c r="F47" s="65"/>
      <c r="G47" s="64"/>
      <c r="H47" s="64"/>
      <c r="I47" s="64"/>
      <c r="J47" s="64"/>
      <c r="K47" s="64"/>
    </row>
    <row r="48" spans="1:11" s="20" customFormat="1" x14ac:dyDescent="0.25">
      <c r="A48" s="19"/>
      <c r="B48" s="19"/>
      <c r="D48" s="63"/>
      <c r="E48" s="64"/>
      <c r="F48" s="65"/>
      <c r="G48" s="64"/>
      <c r="H48" s="64"/>
      <c r="I48" s="64"/>
      <c r="J48" s="64"/>
      <c r="K48" s="64"/>
    </row>
    <row r="49" spans="1:11" s="20" customFormat="1" x14ac:dyDescent="0.25">
      <c r="A49" s="19"/>
      <c r="B49" s="19"/>
      <c r="D49" s="63"/>
      <c r="E49" s="64"/>
      <c r="F49" s="65"/>
      <c r="G49" s="64"/>
      <c r="H49" s="64"/>
      <c r="I49" s="64"/>
      <c r="J49" s="64"/>
      <c r="K49" s="64"/>
    </row>
    <row r="50" spans="1:11" s="20" customFormat="1" x14ac:dyDescent="0.25">
      <c r="A50" s="19"/>
      <c r="B50" s="19"/>
      <c r="D50" s="63"/>
      <c r="E50" s="64"/>
      <c r="F50" s="65"/>
      <c r="G50" s="64"/>
      <c r="H50" s="64"/>
      <c r="I50" s="64"/>
      <c r="J50" s="64"/>
      <c r="K50" s="64"/>
    </row>
    <row r="51" spans="1:11" s="20" customFormat="1" x14ac:dyDescent="0.25">
      <c r="A51" s="19"/>
      <c r="B51" s="19"/>
      <c r="D51" s="63"/>
      <c r="E51" s="64"/>
      <c r="F51" s="65"/>
      <c r="G51" s="64"/>
      <c r="H51" s="64"/>
      <c r="I51" s="64"/>
      <c r="J51" s="64"/>
      <c r="K51" s="64"/>
    </row>
    <row r="52" spans="1:11" s="20" customFormat="1" x14ac:dyDescent="0.25">
      <c r="A52" s="19"/>
      <c r="B52" s="19"/>
      <c r="D52" s="63"/>
      <c r="E52" s="64"/>
      <c r="F52" s="65"/>
      <c r="G52" s="64"/>
      <c r="H52" s="64"/>
      <c r="I52" s="64"/>
      <c r="J52" s="64"/>
      <c r="K52" s="64"/>
    </row>
  </sheetData>
  <mergeCells count="9">
    <mergeCell ref="K3:K4"/>
    <mergeCell ref="A1:J1"/>
    <mergeCell ref="A3:A4"/>
    <mergeCell ref="B3:B4"/>
    <mergeCell ref="C3:C4"/>
    <mergeCell ref="D3:F4"/>
    <mergeCell ref="G3:G4"/>
    <mergeCell ref="I3:I4"/>
    <mergeCell ref="J3:J4"/>
  </mergeCells>
  <pageMargins left="0.19685039370078741" right="0.19685039370078741" top="0.39370078740157483" bottom="0.19685039370078741" header="0.31496062992125984" footer="0.31496062992125984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28" sqref="E28"/>
    </sheetView>
  </sheetViews>
  <sheetFormatPr defaultRowHeight="15" x14ac:dyDescent="0.25"/>
  <cols>
    <col min="1" max="1" width="4.5703125" customWidth="1"/>
    <col min="2" max="2" width="31.5703125" customWidth="1"/>
    <col min="3" max="3" width="13.140625" customWidth="1"/>
    <col min="4" max="6" width="12.42578125" customWidth="1"/>
    <col min="8" max="8" width="10.85546875" customWidth="1"/>
    <col min="257" max="257" width="4.5703125" customWidth="1"/>
    <col min="258" max="258" width="33.7109375" customWidth="1"/>
    <col min="259" max="259" width="13.140625" customWidth="1"/>
    <col min="260" max="262" width="12.42578125" customWidth="1"/>
    <col min="264" max="264" width="10.85546875" customWidth="1"/>
    <col min="513" max="513" width="4.5703125" customWidth="1"/>
    <col min="514" max="514" width="33.7109375" customWidth="1"/>
    <col min="515" max="515" width="13.140625" customWidth="1"/>
    <col min="516" max="518" width="12.42578125" customWidth="1"/>
    <col min="520" max="520" width="10.85546875" customWidth="1"/>
    <col min="769" max="769" width="4.5703125" customWidth="1"/>
    <col min="770" max="770" width="33.7109375" customWidth="1"/>
    <col min="771" max="771" width="13.140625" customWidth="1"/>
    <col min="772" max="774" width="12.42578125" customWidth="1"/>
    <col min="776" max="776" width="10.85546875" customWidth="1"/>
    <col min="1025" max="1025" width="4.5703125" customWidth="1"/>
    <col min="1026" max="1026" width="33.7109375" customWidth="1"/>
    <col min="1027" max="1027" width="13.140625" customWidth="1"/>
    <col min="1028" max="1030" width="12.42578125" customWidth="1"/>
    <col min="1032" max="1032" width="10.85546875" customWidth="1"/>
    <col min="1281" max="1281" width="4.5703125" customWidth="1"/>
    <col min="1282" max="1282" width="33.7109375" customWidth="1"/>
    <col min="1283" max="1283" width="13.140625" customWidth="1"/>
    <col min="1284" max="1286" width="12.42578125" customWidth="1"/>
    <col min="1288" max="1288" width="10.85546875" customWidth="1"/>
    <col min="1537" max="1537" width="4.5703125" customWidth="1"/>
    <col min="1538" max="1538" width="33.7109375" customWidth="1"/>
    <col min="1539" max="1539" width="13.140625" customWidth="1"/>
    <col min="1540" max="1542" width="12.42578125" customWidth="1"/>
    <col min="1544" max="1544" width="10.85546875" customWidth="1"/>
    <col min="1793" max="1793" width="4.5703125" customWidth="1"/>
    <col min="1794" max="1794" width="33.7109375" customWidth="1"/>
    <col min="1795" max="1795" width="13.140625" customWidth="1"/>
    <col min="1796" max="1798" width="12.42578125" customWidth="1"/>
    <col min="1800" max="1800" width="10.85546875" customWidth="1"/>
    <col min="2049" max="2049" width="4.5703125" customWidth="1"/>
    <col min="2050" max="2050" width="33.7109375" customWidth="1"/>
    <col min="2051" max="2051" width="13.140625" customWidth="1"/>
    <col min="2052" max="2054" width="12.42578125" customWidth="1"/>
    <col min="2056" max="2056" width="10.85546875" customWidth="1"/>
    <col min="2305" max="2305" width="4.5703125" customWidth="1"/>
    <col min="2306" max="2306" width="33.7109375" customWidth="1"/>
    <col min="2307" max="2307" width="13.140625" customWidth="1"/>
    <col min="2308" max="2310" width="12.42578125" customWidth="1"/>
    <col min="2312" max="2312" width="10.85546875" customWidth="1"/>
    <col min="2561" max="2561" width="4.5703125" customWidth="1"/>
    <col min="2562" max="2562" width="33.7109375" customWidth="1"/>
    <col min="2563" max="2563" width="13.140625" customWidth="1"/>
    <col min="2564" max="2566" width="12.42578125" customWidth="1"/>
    <col min="2568" max="2568" width="10.85546875" customWidth="1"/>
    <col min="2817" max="2817" width="4.5703125" customWidth="1"/>
    <col min="2818" max="2818" width="33.7109375" customWidth="1"/>
    <col min="2819" max="2819" width="13.140625" customWidth="1"/>
    <col min="2820" max="2822" width="12.42578125" customWidth="1"/>
    <col min="2824" max="2824" width="10.85546875" customWidth="1"/>
    <col min="3073" max="3073" width="4.5703125" customWidth="1"/>
    <col min="3074" max="3074" width="33.7109375" customWidth="1"/>
    <col min="3075" max="3075" width="13.140625" customWidth="1"/>
    <col min="3076" max="3078" width="12.42578125" customWidth="1"/>
    <col min="3080" max="3080" width="10.85546875" customWidth="1"/>
    <col min="3329" max="3329" width="4.5703125" customWidth="1"/>
    <col min="3330" max="3330" width="33.7109375" customWidth="1"/>
    <col min="3331" max="3331" width="13.140625" customWidth="1"/>
    <col min="3332" max="3334" width="12.42578125" customWidth="1"/>
    <col min="3336" max="3336" width="10.85546875" customWidth="1"/>
    <col min="3585" max="3585" width="4.5703125" customWidth="1"/>
    <col min="3586" max="3586" width="33.7109375" customWidth="1"/>
    <col min="3587" max="3587" width="13.140625" customWidth="1"/>
    <col min="3588" max="3590" width="12.42578125" customWidth="1"/>
    <col min="3592" max="3592" width="10.85546875" customWidth="1"/>
    <col min="3841" max="3841" width="4.5703125" customWidth="1"/>
    <col min="3842" max="3842" width="33.7109375" customWidth="1"/>
    <col min="3843" max="3843" width="13.140625" customWidth="1"/>
    <col min="3844" max="3846" width="12.42578125" customWidth="1"/>
    <col min="3848" max="3848" width="10.85546875" customWidth="1"/>
    <col min="4097" max="4097" width="4.5703125" customWidth="1"/>
    <col min="4098" max="4098" width="33.7109375" customWidth="1"/>
    <col min="4099" max="4099" width="13.140625" customWidth="1"/>
    <col min="4100" max="4102" width="12.42578125" customWidth="1"/>
    <col min="4104" max="4104" width="10.85546875" customWidth="1"/>
    <col min="4353" max="4353" width="4.5703125" customWidth="1"/>
    <col min="4354" max="4354" width="33.7109375" customWidth="1"/>
    <col min="4355" max="4355" width="13.140625" customWidth="1"/>
    <col min="4356" max="4358" width="12.42578125" customWidth="1"/>
    <col min="4360" max="4360" width="10.85546875" customWidth="1"/>
    <col min="4609" max="4609" width="4.5703125" customWidth="1"/>
    <col min="4610" max="4610" width="33.7109375" customWidth="1"/>
    <col min="4611" max="4611" width="13.140625" customWidth="1"/>
    <col min="4612" max="4614" width="12.42578125" customWidth="1"/>
    <col min="4616" max="4616" width="10.85546875" customWidth="1"/>
    <col min="4865" max="4865" width="4.5703125" customWidth="1"/>
    <col min="4866" max="4866" width="33.7109375" customWidth="1"/>
    <col min="4867" max="4867" width="13.140625" customWidth="1"/>
    <col min="4868" max="4870" width="12.42578125" customWidth="1"/>
    <col min="4872" max="4872" width="10.85546875" customWidth="1"/>
    <col min="5121" max="5121" width="4.5703125" customWidth="1"/>
    <col min="5122" max="5122" width="33.7109375" customWidth="1"/>
    <col min="5123" max="5123" width="13.140625" customWidth="1"/>
    <col min="5124" max="5126" width="12.42578125" customWidth="1"/>
    <col min="5128" max="5128" width="10.85546875" customWidth="1"/>
    <col min="5377" max="5377" width="4.5703125" customWidth="1"/>
    <col min="5378" max="5378" width="33.7109375" customWidth="1"/>
    <col min="5379" max="5379" width="13.140625" customWidth="1"/>
    <col min="5380" max="5382" width="12.42578125" customWidth="1"/>
    <col min="5384" max="5384" width="10.85546875" customWidth="1"/>
    <col min="5633" max="5633" width="4.5703125" customWidth="1"/>
    <col min="5634" max="5634" width="33.7109375" customWidth="1"/>
    <col min="5635" max="5635" width="13.140625" customWidth="1"/>
    <col min="5636" max="5638" width="12.42578125" customWidth="1"/>
    <col min="5640" max="5640" width="10.85546875" customWidth="1"/>
    <col min="5889" max="5889" width="4.5703125" customWidth="1"/>
    <col min="5890" max="5890" width="33.7109375" customWidth="1"/>
    <col min="5891" max="5891" width="13.140625" customWidth="1"/>
    <col min="5892" max="5894" width="12.42578125" customWidth="1"/>
    <col min="5896" max="5896" width="10.85546875" customWidth="1"/>
    <col min="6145" max="6145" width="4.5703125" customWidth="1"/>
    <col min="6146" max="6146" width="33.7109375" customWidth="1"/>
    <col min="6147" max="6147" width="13.140625" customWidth="1"/>
    <col min="6148" max="6150" width="12.42578125" customWidth="1"/>
    <col min="6152" max="6152" width="10.85546875" customWidth="1"/>
    <col min="6401" max="6401" width="4.5703125" customWidth="1"/>
    <col min="6402" max="6402" width="33.7109375" customWidth="1"/>
    <col min="6403" max="6403" width="13.140625" customWidth="1"/>
    <col min="6404" max="6406" width="12.42578125" customWidth="1"/>
    <col min="6408" max="6408" width="10.85546875" customWidth="1"/>
    <col min="6657" max="6657" width="4.5703125" customWidth="1"/>
    <col min="6658" max="6658" width="33.7109375" customWidth="1"/>
    <col min="6659" max="6659" width="13.140625" customWidth="1"/>
    <col min="6660" max="6662" width="12.42578125" customWidth="1"/>
    <col min="6664" max="6664" width="10.85546875" customWidth="1"/>
    <col min="6913" max="6913" width="4.5703125" customWidth="1"/>
    <col min="6914" max="6914" width="33.7109375" customWidth="1"/>
    <col min="6915" max="6915" width="13.140625" customWidth="1"/>
    <col min="6916" max="6918" width="12.42578125" customWidth="1"/>
    <col min="6920" max="6920" width="10.85546875" customWidth="1"/>
    <col min="7169" max="7169" width="4.5703125" customWidth="1"/>
    <col min="7170" max="7170" width="33.7109375" customWidth="1"/>
    <col min="7171" max="7171" width="13.140625" customWidth="1"/>
    <col min="7172" max="7174" width="12.42578125" customWidth="1"/>
    <col min="7176" max="7176" width="10.85546875" customWidth="1"/>
    <col min="7425" max="7425" width="4.5703125" customWidth="1"/>
    <col min="7426" max="7426" width="33.7109375" customWidth="1"/>
    <col min="7427" max="7427" width="13.140625" customWidth="1"/>
    <col min="7428" max="7430" width="12.42578125" customWidth="1"/>
    <col min="7432" max="7432" width="10.85546875" customWidth="1"/>
    <col min="7681" max="7681" width="4.5703125" customWidth="1"/>
    <col min="7682" max="7682" width="33.7109375" customWidth="1"/>
    <col min="7683" max="7683" width="13.140625" customWidth="1"/>
    <col min="7684" max="7686" width="12.42578125" customWidth="1"/>
    <col min="7688" max="7688" width="10.85546875" customWidth="1"/>
    <col min="7937" max="7937" width="4.5703125" customWidth="1"/>
    <col min="7938" max="7938" width="33.7109375" customWidth="1"/>
    <col min="7939" max="7939" width="13.140625" customWidth="1"/>
    <col min="7940" max="7942" width="12.42578125" customWidth="1"/>
    <col min="7944" max="7944" width="10.85546875" customWidth="1"/>
    <col min="8193" max="8193" width="4.5703125" customWidth="1"/>
    <col min="8194" max="8194" width="33.7109375" customWidth="1"/>
    <col min="8195" max="8195" width="13.140625" customWidth="1"/>
    <col min="8196" max="8198" width="12.42578125" customWidth="1"/>
    <col min="8200" max="8200" width="10.85546875" customWidth="1"/>
    <col min="8449" max="8449" width="4.5703125" customWidth="1"/>
    <col min="8450" max="8450" width="33.7109375" customWidth="1"/>
    <col min="8451" max="8451" width="13.140625" customWidth="1"/>
    <col min="8452" max="8454" width="12.42578125" customWidth="1"/>
    <col min="8456" max="8456" width="10.85546875" customWidth="1"/>
    <col min="8705" max="8705" width="4.5703125" customWidth="1"/>
    <col min="8706" max="8706" width="33.7109375" customWidth="1"/>
    <col min="8707" max="8707" width="13.140625" customWidth="1"/>
    <col min="8708" max="8710" width="12.42578125" customWidth="1"/>
    <col min="8712" max="8712" width="10.85546875" customWidth="1"/>
    <col min="8961" max="8961" width="4.5703125" customWidth="1"/>
    <col min="8962" max="8962" width="33.7109375" customWidth="1"/>
    <col min="8963" max="8963" width="13.140625" customWidth="1"/>
    <col min="8964" max="8966" width="12.42578125" customWidth="1"/>
    <col min="8968" max="8968" width="10.85546875" customWidth="1"/>
    <col min="9217" max="9217" width="4.5703125" customWidth="1"/>
    <col min="9218" max="9218" width="33.7109375" customWidth="1"/>
    <col min="9219" max="9219" width="13.140625" customWidth="1"/>
    <col min="9220" max="9222" width="12.42578125" customWidth="1"/>
    <col min="9224" max="9224" width="10.85546875" customWidth="1"/>
    <col min="9473" max="9473" width="4.5703125" customWidth="1"/>
    <col min="9474" max="9474" width="33.7109375" customWidth="1"/>
    <col min="9475" max="9475" width="13.140625" customWidth="1"/>
    <col min="9476" max="9478" width="12.42578125" customWidth="1"/>
    <col min="9480" max="9480" width="10.85546875" customWidth="1"/>
    <col min="9729" max="9729" width="4.5703125" customWidth="1"/>
    <col min="9730" max="9730" width="33.7109375" customWidth="1"/>
    <col min="9731" max="9731" width="13.140625" customWidth="1"/>
    <col min="9732" max="9734" width="12.42578125" customWidth="1"/>
    <col min="9736" max="9736" width="10.85546875" customWidth="1"/>
    <col min="9985" max="9985" width="4.5703125" customWidth="1"/>
    <col min="9986" max="9986" width="33.7109375" customWidth="1"/>
    <col min="9987" max="9987" width="13.140625" customWidth="1"/>
    <col min="9988" max="9990" width="12.42578125" customWidth="1"/>
    <col min="9992" max="9992" width="10.85546875" customWidth="1"/>
    <col min="10241" max="10241" width="4.5703125" customWidth="1"/>
    <col min="10242" max="10242" width="33.7109375" customWidth="1"/>
    <col min="10243" max="10243" width="13.140625" customWidth="1"/>
    <col min="10244" max="10246" width="12.42578125" customWidth="1"/>
    <col min="10248" max="10248" width="10.85546875" customWidth="1"/>
    <col min="10497" max="10497" width="4.5703125" customWidth="1"/>
    <col min="10498" max="10498" width="33.7109375" customWidth="1"/>
    <col min="10499" max="10499" width="13.140625" customWidth="1"/>
    <col min="10500" max="10502" width="12.42578125" customWidth="1"/>
    <col min="10504" max="10504" width="10.85546875" customWidth="1"/>
    <col min="10753" max="10753" width="4.5703125" customWidth="1"/>
    <col min="10754" max="10754" width="33.7109375" customWidth="1"/>
    <col min="10755" max="10755" width="13.140625" customWidth="1"/>
    <col min="10756" max="10758" width="12.42578125" customWidth="1"/>
    <col min="10760" max="10760" width="10.85546875" customWidth="1"/>
    <col min="11009" max="11009" width="4.5703125" customWidth="1"/>
    <col min="11010" max="11010" width="33.7109375" customWidth="1"/>
    <col min="11011" max="11011" width="13.140625" customWidth="1"/>
    <col min="11012" max="11014" width="12.42578125" customWidth="1"/>
    <col min="11016" max="11016" width="10.85546875" customWidth="1"/>
    <col min="11265" max="11265" width="4.5703125" customWidth="1"/>
    <col min="11266" max="11266" width="33.7109375" customWidth="1"/>
    <col min="11267" max="11267" width="13.140625" customWidth="1"/>
    <col min="11268" max="11270" width="12.42578125" customWidth="1"/>
    <col min="11272" max="11272" width="10.85546875" customWidth="1"/>
    <col min="11521" max="11521" width="4.5703125" customWidth="1"/>
    <col min="11522" max="11522" width="33.7109375" customWidth="1"/>
    <col min="11523" max="11523" width="13.140625" customWidth="1"/>
    <col min="11524" max="11526" width="12.42578125" customWidth="1"/>
    <col min="11528" max="11528" width="10.85546875" customWidth="1"/>
    <col min="11777" max="11777" width="4.5703125" customWidth="1"/>
    <col min="11778" max="11778" width="33.7109375" customWidth="1"/>
    <col min="11779" max="11779" width="13.140625" customWidth="1"/>
    <col min="11780" max="11782" width="12.42578125" customWidth="1"/>
    <col min="11784" max="11784" width="10.85546875" customWidth="1"/>
    <col min="12033" max="12033" width="4.5703125" customWidth="1"/>
    <col min="12034" max="12034" width="33.7109375" customWidth="1"/>
    <col min="12035" max="12035" width="13.140625" customWidth="1"/>
    <col min="12036" max="12038" width="12.42578125" customWidth="1"/>
    <col min="12040" max="12040" width="10.85546875" customWidth="1"/>
    <col min="12289" max="12289" width="4.5703125" customWidth="1"/>
    <col min="12290" max="12290" width="33.7109375" customWidth="1"/>
    <col min="12291" max="12291" width="13.140625" customWidth="1"/>
    <col min="12292" max="12294" width="12.42578125" customWidth="1"/>
    <col min="12296" max="12296" width="10.85546875" customWidth="1"/>
    <col min="12545" max="12545" width="4.5703125" customWidth="1"/>
    <col min="12546" max="12546" width="33.7109375" customWidth="1"/>
    <col min="12547" max="12547" width="13.140625" customWidth="1"/>
    <col min="12548" max="12550" width="12.42578125" customWidth="1"/>
    <col min="12552" max="12552" width="10.85546875" customWidth="1"/>
    <col min="12801" max="12801" width="4.5703125" customWidth="1"/>
    <col min="12802" max="12802" width="33.7109375" customWidth="1"/>
    <col min="12803" max="12803" width="13.140625" customWidth="1"/>
    <col min="12804" max="12806" width="12.42578125" customWidth="1"/>
    <col min="12808" max="12808" width="10.85546875" customWidth="1"/>
    <col min="13057" max="13057" width="4.5703125" customWidth="1"/>
    <col min="13058" max="13058" width="33.7109375" customWidth="1"/>
    <col min="13059" max="13059" width="13.140625" customWidth="1"/>
    <col min="13060" max="13062" width="12.42578125" customWidth="1"/>
    <col min="13064" max="13064" width="10.85546875" customWidth="1"/>
    <col min="13313" max="13313" width="4.5703125" customWidth="1"/>
    <col min="13314" max="13314" width="33.7109375" customWidth="1"/>
    <col min="13315" max="13315" width="13.140625" customWidth="1"/>
    <col min="13316" max="13318" width="12.42578125" customWidth="1"/>
    <col min="13320" max="13320" width="10.85546875" customWidth="1"/>
    <col min="13569" max="13569" width="4.5703125" customWidth="1"/>
    <col min="13570" max="13570" width="33.7109375" customWidth="1"/>
    <col min="13571" max="13571" width="13.140625" customWidth="1"/>
    <col min="13572" max="13574" width="12.42578125" customWidth="1"/>
    <col min="13576" max="13576" width="10.85546875" customWidth="1"/>
    <col min="13825" max="13825" width="4.5703125" customWidth="1"/>
    <col min="13826" max="13826" width="33.7109375" customWidth="1"/>
    <col min="13827" max="13827" width="13.140625" customWidth="1"/>
    <col min="13828" max="13830" width="12.42578125" customWidth="1"/>
    <col min="13832" max="13832" width="10.85546875" customWidth="1"/>
    <col min="14081" max="14081" width="4.5703125" customWidth="1"/>
    <col min="14082" max="14082" width="33.7109375" customWidth="1"/>
    <col min="14083" max="14083" width="13.140625" customWidth="1"/>
    <col min="14084" max="14086" width="12.42578125" customWidth="1"/>
    <col min="14088" max="14088" width="10.85546875" customWidth="1"/>
    <col min="14337" max="14337" width="4.5703125" customWidth="1"/>
    <col min="14338" max="14338" width="33.7109375" customWidth="1"/>
    <col min="14339" max="14339" width="13.140625" customWidth="1"/>
    <col min="14340" max="14342" width="12.42578125" customWidth="1"/>
    <col min="14344" max="14344" width="10.85546875" customWidth="1"/>
    <col min="14593" max="14593" width="4.5703125" customWidth="1"/>
    <col min="14594" max="14594" width="33.7109375" customWidth="1"/>
    <col min="14595" max="14595" width="13.140625" customWidth="1"/>
    <col min="14596" max="14598" width="12.42578125" customWidth="1"/>
    <col min="14600" max="14600" width="10.85546875" customWidth="1"/>
    <col min="14849" max="14849" width="4.5703125" customWidth="1"/>
    <col min="14850" max="14850" width="33.7109375" customWidth="1"/>
    <col min="14851" max="14851" width="13.140625" customWidth="1"/>
    <col min="14852" max="14854" width="12.42578125" customWidth="1"/>
    <col min="14856" max="14856" width="10.85546875" customWidth="1"/>
    <col min="15105" max="15105" width="4.5703125" customWidth="1"/>
    <col min="15106" max="15106" width="33.7109375" customWidth="1"/>
    <col min="15107" max="15107" width="13.140625" customWidth="1"/>
    <col min="15108" max="15110" width="12.42578125" customWidth="1"/>
    <col min="15112" max="15112" width="10.85546875" customWidth="1"/>
    <col min="15361" max="15361" width="4.5703125" customWidth="1"/>
    <col min="15362" max="15362" width="33.7109375" customWidth="1"/>
    <col min="15363" max="15363" width="13.140625" customWidth="1"/>
    <col min="15364" max="15366" width="12.42578125" customWidth="1"/>
    <col min="15368" max="15368" width="10.85546875" customWidth="1"/>
    <col min="15617" max="15617" width="4.5703125" customWidth="1"/>
    <col min="15618" max="15618" width="33.7109375" customWidth="1"/>
    <col min="15619" max="15619" width="13.140625" customWidth="1"/>
    <col min="15620" max="15622" width="12.42578125" customWidth="1"/>
    <col min="15624" max="15624" width="10.85546875" customWidth="1"/>
    <col min="15873" max="15873" width="4.5703125" customWidth="1"/>
    <col min="15874" max="15874" width="33.7109375" customWidth="1"/>
    <col min="15875" max="15875" width="13.140625" customWidth="1"/>
    <col min="15876" max="15878" width="12.42578125" customWidth="1"/>
    <col min="15880" max="15880" width="10.85546875" customWidth="1"/>
    <col min="16129" max="16129" width="4.5703125" customWidth="1"/>
    <col min="16130" max="16130" width="33.7109375" customWidth="1"/>
    <col min="16131" max="16131" width="13.140625" customWidth="1"/>
    <col min="16132" max="16134" width="12.42578125" customWidth="1"/>
    <col min="16136" max="16136" width="10.85546875" customWidth="1"/>
  </cols>
  <sheetData>
    <row r="1" spans="1:12" x14ac:dyDescent="0.25">
      <c r="A1" s="275"/>
      <c r="B1" s="275"/>
      <c r="C1" s="275"/>
      <c r="D1" s="275"/>
      <c r="E1" s="275"/>
      <c r="F1" s="66" t="s">
        <v>383</v>
      </c>
      <c r="G1" s="66"/>
    </row>
    <row r="2" spans="1:12" x14ac:dyDescent="0.25">
      <c r="A2" s="275"/>
      <c r="B2" s="275"/>
      <c r="C2" s="275"/>
      <c r="D2" s="275"/>
      <c r="E2" s="275"/>
      <c r="F2" s="66"/>
      <c r="G2" s="66"/>
    </row>
    <row r="3" spans="1:12" x14ac:dyDescent="0.25">
      <c r="A3" s="275"/>
      <c r="B3" s="275"/>
      <c r="C3" s="275"/>
      <c r="D3" s="275"/>
      <c r="E3" s="275"/>
      <c r="F3" s="275"/>
    </row>
    <row r="4" spans="1:12" ht="15.75" x14ac:dyDescent="0.25">
      <c r="A4" s="509" t="s">
        <v>215</v>
      </c>
      <c r="B4" s="509"/>
      <c r="C4" s="509"/>
      <c r="D4" s="509"/>
      <c r="E4" s="509"/>
      <c r="F4" s="509"/>
    </row>
    <row r="5" spans="1:12" x14ac:dyDescent="0.25">
      <c r="A5" s="67"/>
      <c r="B5" s="270"/>
      <c r="C5" s="270"/>
      <c r="D5" s="270"/>
      <c r="E5" s="270"/>
      <c r="F5" s="270"/>
    </row>
    <row r="6" spans="1:12" x14ac:dyDescent="0.25">
      <c r="A6" s="270"/>
      <c r="B6" s="270"/>
      <c r="C6" s="270"/>
      <c r="D6" s="69"/>
      <c r="E6" s="270"/>
      <c r="F6" s="270"/>
    </row>
    <row r="7" spans="1:12" x14ac:dyDescent="0.25">
      <c r="A7" s="510" t="s">
        <v>216</v>
      </c>
      <c r="B7" s="510" t="s">
        <v>217</v>
      </c>
      <c r="C7" s="511" t="s">
        <v>218</v>
      </c>
      <c r="D7" s="511" t="s">
        <v>5</v>
      </c>
      <c r="E7" s="512" t="s">
        <v>6</v>
      </c>
      <c r="F7" s="515" t="s">
        <v>219</v>
      </c>
    </row>
    <row r="8" spans="1:12" x14ac:dyDescent="0.25">
      <c r="A8" s="510"/>
      <c r="B8" s="510"/>
      <c r="C8" s="510"/>
      <c r="D8" s="511"/>
      <c r="E8" s="513"/>
      <c r="F8" s="516"/>
      <c r="L8" s="400"/>
    </row>
    <row r="9" spans="1:12" x14ac:dyDescent="0.25">
      <c r="A9" s="510"/>
      <c r="B9" s="510"/>
      <c r="C9" s="510"/>
      <c r="D9" s="511"/>
      <c r="E9" s="514"/>
      <c r="F9" s="517"/>
    </row>
    <row r="10" spans="1:12" x14ac:dyDescent="0.25">
      <c r="A10" s="314">
        <v>1</v>
      </c>
      <c r="B10" s="314">
        <v>2</v>
      </c>
      <c r="C10" s="314">
        <v>3</v>
      </c>
      <c r="D10" s="315">
        <v>4</v>
      </c>
      <c r="E10" s="316">
        <v>5</v>
      </c>
      <c r="F10" s="316">
        <v>6</v>
      </c>
    </row>
    <row r="11" spans="1:12" x14ac:dyDescent="0.25">
      <c r="A11" s="317" t="s">
        <v>220</v>
      </c>
      <c r="B11" s="318" t="s">
        <v>221</v>
      </c>
      <c r="C11" s="317"/>
      <c r="D11" s="319">
        <v>46656341.210000001</v>
      </c>
      <c r="E11" s="319">
        <v>46742445.68</v>
      </c>
      <c r="F11" s="320">
        <f>E11/D11*100</f>
        <v>100.18455041215609</v>
      </c>
      <c r="H11" s="70"/>
    </row>
    <row r="12" spans="1:12" x14ac:dyDescent="0.25">
      <c r="A12" s="317" t="s">
        <v>222</v>
      </c>
      <c r="B12" s="318" t="s">
        <v>223</v>
      </c>
      <c r="C12" s="317"/>
      <c r="D12" s="319">
        <v>49937285.299999997</v>
      </c>
      <c r="E12" s="321">
        <v>42838274.640000001</v>
      </c>
      <c r="F12" s="320">
        <f>E12/D12*100</f>
        <v>85.784147821908135</v>
      </c>
      <c r="H12" s="70"/>
    </row>
    <row r="13" spans="1:12" x14ac:dyDescent="0.25">
      <c r="A13" s="317" t="s">
        <v>224</v>
      </c>
      <c r="B13" s="318" t="s">
        <v>225</v>
      </c>
      <c r="C13" s="322"/>
      <c r="D13" s="323">
        <f>D11-D12</f>
        <v>-3280944.0899999961</v>
      </c>
      <c r="E13" s="323">
        <f>E11-E12</f>
        <v>3904171.0399999991</v>
      </c>
      <c r="F13" s="320">
        <v>0</v>
      </c>
      <c r="H13" s="71"/>
    </row>
    <row r="14" spans="1:12" x14ac:dyDescent="0.25">
      <c r="A14" s="507" t="s">
        <v>226</v>
      </c>
      <c r="B14" s="508"/>
      <c r="C14" s="324"/>
      <c r="D14" s="325">
        <f>D15+D16+D17+D18+D19+D20+D21+D23+D22</f>
        <v>4099986.3899999997</v>
      </c>
      <c r="E14" s="325">
        <f>E15+E16+E17+E18+E19+E20+E21+E23+E22</f>
        <v>14105265.109999999</v>
      </c>
      <c r="F14" s="326">
        <f>E14/D14*100</f>
        <v>344.03199835987749</v>
      </c>
      <c r="H14" s="72"/>
    </row>
    <row r="15" spans="1:12" x14ac:dyDescent="0.25">
      <c r="A15" s="317" t="s">
        <v>220</v>
      </c>
      <c r="B15" s="327" t="s">
        <v>227</v>
      </c>
      <c r="C15" s="317" t="s">
        <v>228</v>
      </c>
      <c r="D15" s="328">
        <v>0</v>
      </c>
      <c r="E15" s="323">
        <v>0</v>
      </c>
      <c r="F15" s="320">
        <v>0</v>
      </c>
      <c r="H15" s="70"/>
    </row>
    <row r="16" spans="1:12" x14ac:dyDescent="0.25">
      <c r="A16" s="329" t="s">
        <v>222</v>
      </c>
      <c r="B16" s="322" t="s">
        <v>229</v>
      </c>
      <c r="C16" s="317" t="s">
        <v>228</v>
      </c>
      <c r="D16" s="330">
        <v>0</v>
      </c>
      <c r="E16" s="323">
        <v>0</v>
      </c>
      <c r="F16" s="320">
        <v>0</v>
      </c>
      <c r="H16" s="70"/>
    </row>
    <row r="17" spans="1:8" ht="36" x14ac:dyDescent="0.25">
      <c r="A17" s="317" t="s">
        <v>224</v>
      </c>
      <c r="B17" s="331" t="s">
        <v>286</v>
      </c>
      <c r="C17" s="317" t="s">
        <v>230</v>
      </c>
      <c r="D17" s="328">
        <v>0</v>
      </c>
      <c r="E17" s="323">
        <v>0</v>
      </c>
      <c r="F17" s="320">
        <v>0</v>
      </c>
      <c r="H17" s="70"/>
    </row>
    <row r="18" spans="1:8" x14ac:dyDescent="0.25">
      <c r="A18" s="329" t="s">
        <v>231</v>
      </c>
      <c r="B18" s="322" t="s">
        <v>232</v>
      </c>
      <c r="C18" s="317" t="s">
        <v>233</v>
      </c>
      <c r="D18" s="323">
        <v>262814.3</v>
      </c>
      <c r="E18" s="323">
        <v>38814.300000000003</v>
      </c>
      <c r="F18" s="320">
        <v>0</v>
      </c>
      <c r="H18" s="70"/>
    </row>
    <row r="19" spans="1:8" x14ac:dyDescent="0.25">
      <c r="A19" s="317" t="s">
        <v>234</v>
      </c>
      <c r="B19" s="322" t="s">
        <v>235</v>
      </c>
      <c r="C19" s="317" t="s">
        <v>236</v>
      </c>
      <c r="D19" s="328">
        <v>0</v>
      </c>
      <c r="E19" s="323">
        <v>0</v>
      </c>
      <c r="F19" s="320">
        <v>0</v>
      </c>
      <c r="H19" s="70"/>
    </row>
    <row r="20" spans="1:8" x14ac:dyDescent="0.25">
      <c r="A20" s="329" t="s">
        <v>237</v>
      </c>
      <c r="B20" s="322" t="s">
        <v>238</v>
      </c>
      <c r="C20" s="317" t="s">
        <v>239</v>
      </c>
      <c r="D20" s="332">
        <v>0</v>
      </c>
      <c r="E20" s="323">
        <v>7540552.2400000002</v>
      </c>
      <c r="F20" s="320">
        <v>0</v>
      </c>
      <c r="H20" s="70"/>
    </row>
    <row r="21" spans="1:8" x14ac:dyDescent="0.25">
      <c r="A21" s="317" t="s">
        <v>240</v>
      </c>
      <c r="B21" s="322" t="s">
        <v>241</v>
      </c>
      <c r="C21" s="317" t="s">
        <v>242</v>
      </c>
      <c r="D21" s="333">
        <v>0</v>
      </c>
      <c r="E21" s="323">
        <v>0</v>
      </c>
      <c r="F21" s="320">
        <v>0</v>
      </c>
      <c r="H21" s="70"/>
    </row>
    <row r="22" spans="1:8" ht="108" x14ac:dyDescent="0.25">
      <c r="A22" s="317" t="s">
        <v>243</v>
      </c>
      <c r="B22" s="334" t="s">
        <v>330</v>
      </c>
      <c r="C22" s="317" t="s">
        <v>331</v>
      </c>
      <c r="D22" s="319">
        <v>2948199.57</v>
      </c>
      <c r="E22" s="323">
        <v>3398199.57</v>
      </c>
      <c r="F22" s="320">
        <f>E22/D22*100</f>
        <v>115.26355286728436</v>
      </c>
      <c r="H22" s="70"/>
    </row>
    <row r="23" spans="1:8" x14ac:dyDescent="0.25">
      <c r="A23" s="317" t="s">
        <v>334</v>
      </c>
      <c r="B23" s="335" t="s">
        <v>244</v>
      </c>
      <c r="C23" s="317" t="s">
        <v>335</v>
      </c>
      <c r="D23" s="319">
        <v>888972.52</v>
      </c>
      <c r="E23" s="321">
        <v>3127699</v>
      </c>
      <c r="F23" s="320">
        <f>E23/D23*100</f>
        <v>351.83303528887484</v>
      </c>
      <c r="H23" s="70"/>
    </row>
    <row r="24" spans="1:8" x14ac:dyDescent="0.25">
      <c r="A24" s="507" t="s">
        <v>245</v>
      </c>
      <c r="B24" s="508"/>
      <c r="C24" s="336"/>
      <c r="D24" s="337">
        <f>D25+D26+D27+D28+D29+D30+D31</f>
        <v>819042.3</v>
      </c>
      <c r="E24" s="337">
        <f>E25+E26+E27+E28+E29+E30+E31</f>
        <v>628292.30000000005</v>
      </c>
      <c r="F24" s="326">
        <f>E24/D24*100</f>
        <v>76.710604568286641</v>
      </c>
      <c r="H24" s="72"/>
    </row>
    <row r="25" spans="1:8" x14ac:dyDescent="0.25">
      <c r="A25" s="317" t="s">
        <v>220</v>
      </c>
      <c r="B25" s="322" t="s">
        <v>246</v>
      </c>
      <c r="C25" s="317" t="s">
        <v>247</v>
      </c>
      <c r="D25" s="319">
        <v>451000</v>
      </c>
      <c r="E25" s="323">
        <v>338250</v>
      </c>
      <c r="F25" s="320">
        <f>E25/D25*100</f>
        <v>75</v>
      </c>
      <c r="H25" s="70"/>
    </row>
    <row r="26" spans="1:8" x14ac:dyDescent="0.25">
      <c r="A26" s="329" t="s">
        <v>222</v>
      </c>
      <c r="B26" s="338" t="s">
        <v>248</v>
      </c>
      <c r="C26" s="329" t="s">
        <v>247</v>
      </c>
      <c r="D26" s="339">
        <v>105228</v>
      </c>
      <c r="E26" s="323">
        <v>105228</v>
      </c>
      <c r="F26" s="320">
        <v>0</v>
      </c>
      <c r="H26" s="70"/>
    </row>
    <row r="27" spans="1:8" ht="48" x14ac:dyDescent="0.25">
      <c r="A27" s="317" t="s">
        <v>224</v>
      </c>
      <c r="B27" s="340" t="s">
        <v>249</v>
      </c>
      <c r="C27" s="317" t="s">
        <v>250</v>
      </c>
      <c r="D27" s="333">
        <v>0</v>
      </c>
      <c r="E27" s="323">
        <v>0</v>
      </c>
      <c r="F27" s="320">
        <v>0</v>
      </c>
      <c r="H27" s="70"/>
    </row>
    <row r="28" spans="1:8" x14ac:dyDescent="0.25">
      <c r="A28" s="329" t="s">
        <v>231</v>
      </c>
      <c r="B28" s="338" t="s">
        <v>251</v>
      </c>
      <c r="C28" s="329" t="s">
        <v>252</v>
      </c>
      <c r="D28" s="339">
        <v>262814.3</v>
      </c>
      <c r="E28" s="323">
        <v>184814.3</v>
      </c>
      <c r="F28" s="320">
        <f>E28/D28*100</f>
        <v>70.321249642808624</v>
      </c>
      <c r="H28" s="70"/>
    </row>
    <row r="29" spans="1:8" x14ac:dyDescent="0.25">
      <c r="A29" s="317" t="s">
        <v>234</v>
      </c>
      <c r="B29" s="322" t="s">
        <v>253</v>
      </c>
      <c r="C29" s="317" t="s">
        <v>254</v>
      </c>
      <c r="D29" s="333">
        <v>0</v>
      </c>
      <c r="E29" s="323">
        <v>0</v>
      </c>
      <c r="F29" s="320">
        <v>0</v>
      </c>
      <c r="H29" s="70"/>
    </row>
    <row r="30" spans="1:8" x14ac:dyDescent="0.25">
      <c r="A30" s="341" t="s">
        <v>237</v>
      </c>
      <c r="B30" s="335" t="s">
        <v>255</v>
      </c>
      <c r="C30" s="341" t="s">
        <v>256</v>
      </c>
      <c r="D30" s="342">
        <v>0</v>
      </c>
      <c r="E30" s="323">
        <v>0</v>
      </c>
      <c r="F30" s="320">
        <v>0</v>
      </c>
      <c r="H30" s="70"/>
    </row>
    <row r="31" spans="1:8" x14ac:dyDescent="0.25">
      <c r="A31" s="341" t="s">
        <v>240</v>
      </c>
      <c r="B31" s="335" t="s">
        <v>257</v>
      </c>
      <c r="C31" s="343" t="s">
        <v>258</v>
      </c>
      <c r="D31" s="344">
        <v>0</v>
      </c>
      <c r="E31" s="323">
        <v>0</v>
      </c>
      <c r="F31" s="320">
        <v>0</v>
      </c>
      <c r="H31" s="70"/>
    </row>
    <row r="32" spans="1:8" x14ac:dyDescent="0.25">
      <c r="A32" s="73"/>
      <c r="B32" s="74"/>
      <c r="C32" s="75"/>
      <c r="D32" s="68"/>
      <c r="E32" s="68"/>
      <c r="F32" s="68"/>
    </row>
    <row r="34" spans="1:2" s="77" customFormat="1" ht="15.75" x14ac:dyDescent="0.25">
      <c r="A34" s="76"/>
      <c r="B34" s="76"/>
    </row>
    <row r="35" spans="1:2" x14ac:dyDescent="0.25">
      <c r="A35" s="78"/>
      <c r="B35" s="78"/>
    </row>
  </sheetData>
  <mergeCells count="9">
    <mergeCell ref="A14:B14"/>
    <mergeCell ref="A24:B24"/>
    <mergeCell ref="A4:F4"/>
    <mergeCell ref="A7:A9"/>
    <mergeCell ref="B7:B9"/>
    <mergeCell ref="C7:C9"/>
    <mergeCell ref="D7:D9"/>
    <mergeCell ref="E7:E9"/>
    <mergeCell ref="F7:F9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4" workbookViewId="0">
      <selection activeCell="P18" sqref="P18"/>
    </sheetView>
  </sheetViews>
  <sheetFormatPr defaultRowHeight="15" x14ac:dyDescent="0.25"/>
  <cols>
    <col min="1" max="1" width="6.7109375" style="15" customWidth="1"/>
    <col min="2" max="2" width="9.7109375" style="15" customWidth="1"/>
    <col min="3" max="3" width="38.85546875" customWidth="1"/>
    <col min="4" max="4" width="13.140625" style="21" customWidth="1"/>
    <col min="5" max="5" width="12.7109375" style="22" customWidth="1"/>
    <col min="6" max="6" width="8.42578125" style="24" customWidth="1"/>
    <col min="7" max="7" width="13.140625" style="21" customWidth="1"/>
    <col min="8" max="8" width="12.7109375" style="22" customWidth="1"/>
    <col min="9" max="9" width="8.85546875" style="24" customWidth="1"/>
    <col min="10" max="10" width="12.140625" style="22" customWidth="1"/>
    <col min="11" max="11" width="10.85546875" style="22" customWidth="1"/>
    <col min="257" max="257" width="6" customWidth="1"/>
    <col min="258" max="258" width="8.7109375" customWidth="1"/>
    <col min="259" max="259" width="44.42578125" customWidth="1"/>
    <col min="260" max="260" width="9.42578125" customWidth="1"/>
    <col min="261" max="261" width="14.140625" customWidth="1"/>
    <col min="262" max="262" width="7.5703125" customWidth="1"/>
    <col min="263" max="263" width="10.5703125" customWidth="1"/>
    <col min="264" max="264" width="14.28515625" customWidth="1"/>
    <col min="265" max="265" width="8.85546875" customWidth="1"/>
    <col min="266" max="266" width="11.5703125" customWidth="1"/>
    <col min="267" max="267" width="10.85546875" customWidth="1"/>
    <col min="513" max="513" width="6" customWidth="1"/>
    <col min="514" max="514" width="8.7109375" customWidth="1"/>
    <col min="515" max="515" width="44.42578125" customWidth="1"/>
    <col min="516" max="516" width="9.42578125" customWidth="1"/>
    <col min="517" max="517" width="14.140625" customWidth="1"/>
    <col min="518" max="518" width="7.5703125" customWidth="1"/>
    <col min="519" max="519" width="10.5703125" customWidth="1"/>
    <col min="520" max="520" width="14.28515625" customWidth="1"/>
    <col min="521" max="521" width="8.85546875" customWidth="1"/>
    <col min="522" max="522" width="11.5703125" customWidth="1"/>
    <col min="523" max="523" width="10.85546875" customWidth="1"/>
    <col min="769" max="769" width="6" customWidth="1"/>
    <col min="770" max="770" width="8.7109375" customWidth="1"/>
    <col min="771" max="771" width="44.42578125" customWidth="1"/>
    <col min="772" max="772" width="9.42578125" customWidth="1"/>
    <col min="773" max="773" width="14.140625" customWidth="1"/>
    <col min="774" max="774" width="7.5703125" customWidth="1"/>
    <col min="775" max="775" width="10.5703125" customWidth="1"/>
    <col min="776" max="776" width="14.28515625" customWidth="1"/>
    <col min="777" max="777" width="8.85546875" customWidth="1"/>
    <col min="778" max="778" width="11.5703125" customWidth="1"/>
    <col min="779" max="779" width="10.85546875" customWidth="1"/>
    <col min="1025" max="1025" width="6" customWidth="1"/>
    <col min="1026" max="1026" width="8.7109375" customWidth="1"/>
    <col min="1027" max="1027" width="44.42578125" customWidth="1"/>
    <col min="1028" max="1028" width="9.42578125" customWidth="1"/>
    <col min="1029" max="1029" width="14.140625" customWidth="1"/>
    <col min="1030" max="1030" width="7.5703125" customWidth="1"/>
    <col min="1031" max="1031" width="10.5703125" customWidth="1"/>
    <col min="1032" max="1032" width="14.28515625" customWidth="1"/>
    <col min="1033" max="1033" width="8.85546875" customWidth="1"/>
    <col min="1034" max="1034" width="11.5703125" customWidth="1"/>
    <col min="1035" max="1035" width="10.85546875" customWidth="1"/>
    <col min="1281" max="1281" width="6" customWidth="1"/>
    <col min="1282" max="1282" width="8.7109375" customWidth="1"/>
    <col min="1283" max="1283" width="44.42578125" customWidth="1"/>
    <col min="1284" max="1284" width="9.42578125" customWidth="1"/>
    <col min="1285" max="1285" width="14.140625" customWidth="1"/>
    <col min="1286" max="1286" width="7.5703125" customWidth="1"/>
    <col min="1287" max="1287" width="10.5703125" customWidth="1"/>
    <col min="1288" max="1288" width="14.28515625" customWidth="1"/>
    <col min="1289" max="1289" width="8.85546875" customWidth="1"/>
    <col min="1290" max="1290" width="11.5703125" customWidth="1"/>
    <col min="1291" max="1291" width="10.85546875" customWidth="1"/>
    <col min="1537" max="1537" width="6" customWidth="1"/>
    <col min="1538" max="1538" width="8.7109375" customWidth="1"/>
    <col min="1539" max="1539" width="44.42578125" customWidth="1"/>
    <col min="1540" max="1540" width="9.42578125" customWidth="1"/>
    <col min="1541" max="1541" width="14.140625" customWidth="1"/>
    <col min="1542" max="1542" width="7.5703125" customWidth="1"/>
    <col min="1543" max="1543" width="10.5703125" customWidth="1"/>
    <col min="1544" max="1544" width="14.28515625" customWidth="1"/>
    <col min="1545" max="1545" width="8.85546875" customWidth="1"/>
    <col min="1546" max="1546" width="11.5703125" customWidth="1"/>
    <col min="1547" max="1547" width="10.85546875" customWidth="1"/>
    <col min="1793" max="1793" width="6" customWidth="1"/>
    <col min="1794" max="1794" width="8.7109375" customWidth="1"/>
    <col min="1795" max="1795" width="44.42578125" customWidth="1"/>
    <col min="1796" max="1796" width="9.42578125" customWidth="1"/>
    <col min="1797" max="1797" width="14.140625" customWidth="1"/>
    <col min="1798" max="1798" width="7.5703125" customWidth="1"/>
    <col min="1799" max="1799" width="10.5703125" customWidth="1"/>
    <col min="1800" max="1800" width="14.28515625" customWidth="1"/>
    <col min="1801" max="1801" width="8.85546875" customWidth="1"/>
    <col min="1802" max="1802" width="11.5703125" customWidth="1"/>
    <col min="1803" max="1803" width="10.85546875" customWidth="1"/>
    <col min="2049" max="2049" width="6" customWidth="1"/>
    <col min="2050" max="2050" width="8.7109375" customWidth="1"/>
    <col min="2051" max="2051" width="44.42578125" customWidth="1"/>
    <col min="2052" max="2052" width="9.42578125" customWidth="1"/>
    <col min="2053" max="2053" width="14.140625" customWidth="1"/>
    <col min="2054" max="2054" width="7.5703125" customWidth="1"/>
    <col min="2055" max="2055" width="10.5703125" customWidth="1"/>
    <col min="2056" max="2056" width="14.28515625" customWidth="1"/>
    <col min="2057" max="2057" width="8.85546875" customWidth="1"/>
    <col min="2058" max="2058" width="11.5703125" customWidth="1"/>
    <col min="2059" max="2059" width="10.85546875" customWidth="1"/>
    <col min="2305" max="2305" width="6" customWidth="1"/>
    <col min="2306" max="2306" width="8.7109375" customWidth="1"/>
    <col min="2307" max="2307" width="44.42578125" customWidth="1"/>
    <col min="2308" max="2308" width="9.42578125" customWidth="1"/>
    <col min="2309" max="2309" width="14.140625" customWidth="1"/>
    <col min="2310" max="2310" width="7.5703125" customWidth="1"/>
    <col min="2311" max="2311" width="10.5703125" customWidth="1"/>
    <col min="2312" max="2312" width="14.28515625" customWidth="1"/>
    <col min="2313" max="2313" width="8.85546875" customWidth="1"/>
    <col min="2314" max="2314" width="11.5703125" customWidth="1"/>
    <col min="2315" max="2315" width="10.85546875" customWidth="1"/>
    <col min="2561" max="2561" width="6" customWidth="1"/>
    <col min="2562" max="2562" width="8.7109375" customWidth="1"/>
    <col min="2563" max="2563" width="44.42578125" customWidth="1"/>
    <col min="2564" max="2564" width="9.42578125" customWidth="1"/>
    <col min="2565" max="2565" width="14.140625" customWidth="1"/>
    <col min="2566" max="2566" width="7.5703125" customWidth="1"/>
    <col min="2567" max="2567" width="10.5703125" customWidth="1"/>
    <col min="2568" max="2568" width="14.28515625" customWidth="1"/>
    <col min="2569" max="2569" width="8.85546875" customWidth="1"/>
    <col min="2570" max="2570" width="11.5703125" customWidth="1"/>
    <col min="2571" max="2571" width="10.85546875" customWidth="1"/>
    <col min="2817" max="2817" width="6" customWidth="1"/>
    <col min="2818" max="2818" width="8.7109375" customWidth="1"/>
    <col min="2819" max="2819" width="44.42578125" customWidth="1"/>
    <col min="2820" max="2820" width="9.42578125" customWidth="1"/>
    <col min="2821" max="2821" width="14.140625" customWidth="1"/>
    <col min="2822" max="2822" width="7.5703125" customWidth="1"/>
    <col min="2823" max="2823" width="10.5703125" customWidth="1"/>
    <col min="2824" max="2824" width="14.28515625" customWidth="1"/>
    <col min="2825" max="2825" width="8.85546875" customWidth="1"/>
    <col min="2826" max="2826" width="11.5703125" customWidth="1"/>
    <col min="2827" max="2827" width="10.85546875" customWidth="1"/>
    <col min="3073" max="3073" width="6" customWidth="1"/>
    <col min="3074" max="3074" width="8.7109375" customWidth="1"/>
    <col min="3075" max="3075" width="44.42578125" customWidth="1"/>
    <col min="3076" max="3076" width="9.42578125" customWidth="1"/>
    <col min="3077" max="3077" width="14.140625" customWidth="1"/>
    <col min="3078" max="3078" width="7.5703125" customWidth="1"/>
    <col min="3079" max="3079" width="10.5703125" customWidth="1"/>
    <col min="3080" max="3080" width="14.28515625" customWidth="1"/>
    <col min="3081" max="3081" width="8.85546875" customWidth="1"/>
    <col min="3082" max="3082" width="11.5703125" customWidth="1"/>
    <col min="3083" max="3083" width="10.85546875" customWidth="1"/>
    <col min="3329" max="3329" width="6" customWidth="1"/>
    <col min="3330" max="3330" width="8.7109375" customWidth="1"/>
    <col min="3331" max="3331" width="44.42578125" customWidth="1"/>
    <col min="3332" max="3332" width="9.42578125" customWidth="1"/>
    <col min="3333" max="3333" width="14.140625" customWidth="1"/>
    <col min="3334" max="3334" width="7.5703125" customWidth="1"/>
    <col min="3335" max="3335" width="10.5703125" customWidth="1"/>
    <col min="3336" max="3336" width="14.28515625" customWidth="1"/>
    <col min="3337" max="3337" width="8.85546875" customWidth="1"/>
    <col min="3338" max="3338" width="11.5703125" customWidth="1"/>
    <col min="3339" max="3339" width="10.85546875" customWidth="1"/>
    <col min="3585" max="3585" width="6" customWidth="1"/>
    <col min="3586" max="3586" width="8.7109375" customWidth="1"/>
    <col min="3587" max="3587" width="44.42578125" customWidth="1"/>
    <col min="3588" max="3588" width="9.42578125" customWidth="1"/>
    <col min="3589" max="3589" width="14.140625" customWidth="1"/>
    <col min="3590" max="3590" width="7.5703125" customWidth="1"/>
    <col min="3591" max="3591" width="10.5703125" customWidth="1"/>
    <col min="3592" max="3592" width="14.28515625" customWidth="1"/>
    <col min="3593" max="3593" width="8.85546875" customWidth="1"/>
    <col min="3594" max="3594" width="11.5703125" customWidth="1"/>
    <col min="3595" max="3595" width="10.85546875" customWidth="1"/>
    <col min="3841" max="3841" width="6" customWidth="1"/>
    <col min="3842" max="3842" width="8.7109375" customWidth="1"/>
    <col min="3843" max="3843" width="44.42578125" customWidth="1"/>
    <col min="3844" max="3844" width="9.42578125" customWidth="1"/>
    <col min="3845" max="3845" width="14.140625" customWidth="1"/>
    <col min="3846" max="3846" width="7.5703125" customWidth="1"/>
    <col min="3847" max="3847" width="10.5703125" customWidth="1"/>
    <col min="3848" max="3848" width="14.28515625" customWidth="1"/>
    <col min="3849" max="3849" width="8.85546875" customWidth="1"/>
    <col min="3850" max="3850" width="11.5703125" customWidth="1"/>
    <col min="3851" max="3851" width="10.85546875" customWidth="1"/>
    <col min="4097" max="4097" width="6" customWidth="1"/>
    <col min="4098" max="4098" width="8.7109375" customWidth="1"/>
    <col min="4099" max="4099" width="44.42578125" customWidth="1"/>
    <col min="4100" max="4100" width="9.42578125" customWidth="1"/>
    <col min="4101" max="4101" width="14.140625" customWidth="1"/>
    <col min="4102" max="4102" width="7.5703125" customWidth="1"/>
    <col min="4103" max="4103" width="10.5703125" customWidth="1"/>
    <col min="4104" max="4104" width="14.28515625" customWidth="1"/>
    <col min="4105" max="4105" width="8.85546875" customWidth="1"/>
    <col min="4106" max="4106" width="11.5703125" customWidth="1"/>
    <col min="4107" max="4107" width="10.85546875" customWidth="1"/>
    <col min="4353" max="4353" width="6" customWidth="1"/>
    <col min="4354" max="4354" width="8.7109375" customWidth="1"/>
    <col min="4355" max="4355" width="44.42578125" customWidth="1"/>
    <col min="4356" max="4356" width="9.42578125" customWidth="1"/>
    <col min="4357" max="4357" width="14.140625" customWidth="1"/>
    <col min="4358" max="4358" width="7.5703125" customWidth="1"/>
    <col min="4359" max="4359" width="10.5703125" customWidth="1"/>
    <col min="4360" max="4360" width="14.28515625" customWidth="1"/>
    <col min="4361" max="4361" width="8.85546875" customWidth="1"/>
    <col min="4362" max="4362" width="11.5703125" customWidth="1"/>
    <col min="4363" max="4363" width="10.85546875" customWidth="1"/>
    <col min="4609" max="4609" width="6" customWidth="1"/>
    <col min="4610" max="4610" width="8.7109375" customWidth="1"/>
    <col min="4611" max="4611" width="44.42578125" customWidth="1"/>
    <col min="4612" max="4612" width="9.42578125" customWidth="1"/>
    <col min="4613" max="4613" width="14.140625" customWidth="1"/>
    <col min="4614" max="4614" width="7.5703125" customWidth="1"/>
    <col min="4615" max="4615" width="10.5703125" customWidth="1"/>
    <col min="4616" max="4616" width="14.28515625" customWidth="1"/>
    <col min="4617" max="4617" width="8.85546875" customWidth="1"/>
    <col min="4618" max="4618" width="11.5703125" customWidth="1"/>
    <col min="4619" max="4619" width="10.85546875" customWidth="1"/>
    <col min="4865" max="4865" width="6" customWidth="1"/>
    <col min="4866" max="4866" width="8.7109375" customWidth="1"/>
    <col min="4867" max="4867" width="44.42578125" customWidth="1"/>
    <col min="4868" max="4868" width="9.42578125" customWidth="1"/>
    <col min="4869" max="4869" width="14.140625" customWidth="1"/>
    <col min="4870" max="4870" width="7.5703125" customWidth="1"/>
    <col min="4871" max="4871" width="10.5703125" customWidth="1"/>
    <col min="4872" max="4872" width="14.28515625" customWidth="1"/>
    <col min="4873" max="4873" width="8.85546875" customWidth="1"/>
    <col min="4874" max="4874" width="11.5703125" customWidth="1"/>
    <col min="4875" max="4875" width="10.85546875" customWidth="1"/>
    <col min="5121" max="5121" width="6" customWidth="1"/>
    <col min="5122" max="5122" width="8.7109375" customWidth="1"/>
    <col min="5123" max="5123" width="44.42578125" customWidth="1"/>
    <col min="5124" max="5124" width="9.42578125" customWidth="1"/>
    <col min="5125" max="5125" width="14.140625" customWidth="1"/>
    <col min="5126" max="5126" width="7.5703125" customWidth="1"/>
    <col min="5127" max="5127" width="10.5703125" customWidth="1"/>
    <col min="5128" max="5128" width="14.28515625" customWidth="1"/>
    <col min="5129" max="5129" width="8.85546875" customWidth="1"/>
    <col min="5130" max="5130" width="11.5703125" customWidth="1"/>
    <col min="5131" max="5131" width="10.85546875" customWidth="1"/>
    <col min="5377" max="5377" width="6" customWidth="1"/>
    <col min="5378" max="5378" width="8.7109375" customWidth="1"/>
    <col min="5379" max="5379" width="44.42578125" customWidth="1"/>
    <col min="5380" max="5380" width="9.42578125" customWidth="1"/>
    <col min="5381" max="5381" width="14.140625" customWidth="1"/>
    <col min="5382" max="5382" width="7.5703125" customWidth="1"/>
    <col min="5383" max="5383" width="10.5703125" customWidth="1"/>
    <col min="5384" max="5384" width="14.28515625" customWidth="1"/>
    <col min="5385" max="5385" width="8.85546875" customWidth="1"/>
    <col min="5386" max="5386" width="11.5703125" customWidth="1"/>
    <col min="5387" max="5387" width="10.85546875" customWidth="1"/>
    <col min="5633" max="5633" width="6" customWidth="1"/>
    <col min="5634" max="5634" width="8.7109375" customWidth="1"/>
    <col min="5635" max="5635" width="44.42578125" customWidth="1"/>
    <col min="5636" max="5636" width="9.42578125" customWidth="1"/>
    <col min="5637" max="5637" width="14.140625" customWidth="1"/>
    <col min="5638" max="5638" width="7.5703125" customWidth="1"/>
    <col min="5639" max="5639" width="10.5703125" customWidth="1"/>
    <col min="5640" max="5640" width="14.28515625" customWidth="1"/>
    <col min="5641" max="5641" width="8.85546875" customWidth="1"/>
    <col min="5642" max="5642" width="11.5703125" customWidth="1"/>
    <col min="5643" max="5643" width="10.85546875" customWidth="1"/>
    <col min="5889" max="5889" width="6" customWidth="1"/>
    <col min="5890" max="5890" width="8.7109375" customWidth="1"/>
    <col min="5891" max="5891" width="44.42578125" customWidth="1"/>
    <col min="5892" max="5892" width="9.42578125" customWidth="1"/>
    <col min="5893" max="5893" width="14.140625" customWidth="1"/>
    <col min="5894" max="5894" width="7.5703125" customWidth="1"/>
    <col min="5895" max="5895" width="10.5703125" customWidth="1"/>
    <col min="5896" max="5896" width="14.28515625" customWidth="1"/>
    <col min="5897" max="5897" width="8.85546875" customWidth="1"/>
    <col min="5898" max="5898" width="11.5703125" customWidth="1"/>
    <col min="5899" max="5899" width="10.85546875" customWidth="1"/>
    <col min="6145" max="6145" width="6" customWidth="1"/>
    <col min="6146" max="6146" width="8.7109375" customWidth="1"/>
    <col min="6147" max="6147" width="44.42578125" customWidth="1"/>
    <col min="6148" max="6148" width="9.42578125" customWidth="1"/>
    <col min="6149" max="6149" width="14.140625" customWidth="1"/>
    <col min="6150" max="6150" width="7.5703125" customWidth="1"/>
    <col min="6151" max="6151" width="10.5703125" customWidth="1"/>
    <col min="6152" max="6152" width="14.28515625" customWidth="1"/>
    <col min="6153" max="6153" width="8.85546875" customWidth="1"/>
    <col min="6154" max="6154" width="11.5703125" customWidth="1"/>
    <col min="6155" max="6155" width="10.85546875" customWidth="1"/>
    <col min="6401" max="6401" width="6" customWidth="1"/>
    <col min="6402" max="6402" width="8.7109375" customWidth="1"/>
    <col min="6403" max="6403" width="44.42578125" customWidth="1"/>
    <col min="6404" max="6404" width="9.42578125" customWidth="1"/>
    <col min="6405" max="6405" width="14.140625" customWidth="1"/>
    <col min="6406" max="6406" width="7.5703125" customWidth="1"/>
    <col min="6407" max="6407" width="10.5703125" customWidth="1"/>
    <col min="6408" max="6408" width="14.28515625" customWidth="1"/>
    <col min="6409" max="6409" width="8.85546875" customWidth="1"/>
    <col min="6410" max="6410" width="11.5703125" customWidth="1"/>
    <col min="6411" max="6411" width="10.85546875" customWidth="1"/>
    <col min="6657" max="6657" width="6" customWidth="1"/>
    <col min="6658" max="6658" width="8.7109375" customWidth="1"/>
    <col min="6659" max="6659" width="44.42578125" customWidth="1"/>
    <col min="6660" max="6660" width="9.42578125" customWidth="1"/>
    <col min="6661" max="6661" width="14.140625" customWidth="1"/>
    <col min="6662" max="6662" width="7.5703125" customWidth="1"/>
    <col min="6663" max="6663" width="10.5703125" customWidth="1"/>
    <col min="6664" max="6664" width="14.28515625" customWidth="1"/>
    <col min="6665" max="6665" width="8.85546875" customWidth="1"/>
    <col min="6666" max="6666" width="11.5703125" customWidth="1"/>
    <col min="6667" max="6667" width="10.85546875" customWidth="1"/>
    <col min="6913" max="6913" width="6" customWidth="1"/>
    <col min="6914" max="6914" width="8.7109375" customWidth="1"/>
    <col min="6915" max="6915" width="44.42578125" customWidth="1"/>
    <col min="6916" max="6916" width="9.42578125" customWidth="1"/>
    <col min="6917" max="6917" width="14.140625" customWidth="1"/>
    <col min="6918" max="6918" width="7.5703125" customWidth="1"/>
    <col min="6919" max="6919" width="10.5703125" customWidth="1"/>
    <col min="6920" max="6920" width="14.28515625" customWidth="1"/>
    <col min="6921" max="6921" width="8.85546875" customWidth="1"/>
    <col min="6922" max="6922" width="11.5703125" customWidth="1"/>
    <col min="6923" max="6923" width="10.85546875" customWidth="1"/>
    <col min="7169" max="7169" width="6" customWidth="1"/>
    <col min="7170" max="7170" width="8.7109375" customWidth="1"/>
    <col min="7171" max="7171" width="44.42578125" customWidth="1"/>
    <col min="7172" max="7172" width="9.42578125" customWidth="1"/>
    <col min="7173" max="7173" width="14.140625" customWidth="1"/>
    <col min="7174" max="7174" width="7.5703125" customWidth="1"/>
    <col min="7175" max="7175" width="10.5703125" customWidth="1"/>
    <col min="7176" max="7176" width="14.28515625" customWidth="1"/>
    <col min="7177" max="7177" width="8.85546875" customWidth="1"/>
    <col min="7178" max="7178" width="11.5703125" customWidth="1"/>
    <col min="7179" max="7179" width="10.85546875" customWidth="1"/>
    <col min="7425" max="7425" width="6" customWidth="1"/>
    <col min="7426" max="7426" width="8.7109375" customWidth="1"/>
    <col min="7427" max="7427" width="44.42578125" customWidth="1"/>
    <col min="7428" max="7428" width="9.42578125" customWidth="1"/>
    <col min="7429" max="7429" width="14.140625" customWidth="1"/>
    <col min="7430" max="7430" width="7.5703125" customWidth="1"/>
    <col min="7431" max="7431" width="10.5703125" customWidth="1"/>
    <col min="7432" max="7432" width="14.28515625" customWidth="1"/>
    <col min="7433" max="7433" width="8.85546875" customWidth="1"/>
    <col min="7434" max="7434" width="11.5703125" customWidth="1"/>
    <col min="7435" max="7435" width="10.85546875" customWidth="1"/>
    <col min="7681" max="7681" width="6" customWidth="1"/>
    <col min="7682" max="7682" width="8.7109375" customWidth="1"/>
    <col min="7683" max="7683" width="44.42578125" customWidth="1"/>
    <col min="7684" max="7684" width="9.42578125" customWidth="1"/>
    <col min="7685" max="7685" width="14.140625" customWidth="1"/>
    <col min="7686" max="7686" width="7.5703125" customWidth="1"/>
    <col min="7687" max="7687" width="10.5703125" customWidth="1"/>
    <col min="7688" max="7688" width="14.28515625" customWidth="1"/>
    <col min="7689" max="7689" width="8.85546875" customWidth="1"/>
    <col min="7690" max="7690" width="11.5703125" customWidth="1"/>
    <col min="7691" max="7691" width="10.85546875" customWidth="1"/>
    <col min="7937" max="7937" width="6" customWidth="1"/>
    <col min="7938" max="7938" width="8.7109375" customWidth="1"/>
    <col min="7939" max="7939" width="44.42578125" customWidth="1"/>
    <col min="7940" max="7940" width="9.42578125" customWidth="1"/>
    <col min="7941" max="7941" width="14.140625" customWidth="1"/>
    <col min="7942" max="7942" width="7.5703125" customWidth="1"/>
    <col min="7943" max="7943" width="10.5703125" customWidth="1"/>
    <col min="7944" max="7944" width="14.28515625" customWidth="1"/>
    <col min="7945" max="7945" width="8.85546875" customWidth="1"/>
    <col min="7946" max="7946" width="11.5703125" customWidth="1"/>
    <col min="7947" max="7947" width="10.85546875" customWidth="1"/>
    <col min="8193" max="8193" width="6" customWidth="1"/>
    <col min="8194" max="8194" width="8.7109375" customWidth="1"/>
    <col min="8195" max="8195" width="44.42578125" customWidth="1"/>
    <col min="8196" max="8196" width="9.42578125" customWidth="1"/>
    <col min="8197" max="8197" width="14.140625" customWidth="1"/>
    <col min="8198" max="8198" width="7.5703125" customWidth="1"/>
    <col min="8199" max="8199" width="10.5703125" customWidth="1"/>
    <col min="8200" max="8200" width="14.28515625" customWidth="1"/>
    <col min="8201" max="8201" width="8.85546875" customWidth="1"/>
    <col min="8202" max="8202" width="11.5703125" customWidth="1"/>
    <col min="8203" max="8203" width="10.85546875" customWidth="1"/>
    <col min="8449" max="8449" width="6" customWidth="1"/>
    <col min="8450" max="8450" width="8.7109375" customWidth="1"/>
    <col min="8451" max="8451" width="44.42578125" customWidth="1"/>
    <col min="8452" max="8452" width="9.42578125" customWidth="1"/>
    <col min="8453" max="8453" width="14.140625" customWidth="1"/>
    <col min="8454" max="8454" width="7.5703125" customWidth="1"/>
    <col min="8455" max="8455" width="10.5703125" customWidth="1"/>
    <col min="8456" max="8456" width="14.28515625" customWidth="1"/>
    <col min="8457" max="8457" width="8.85546875" customWidth="1"/>
    <col min="8458" max="8458" width="11.5703125" customWidth="1"/>
    <col min="8459" max="8459" width="10.85546875" customWidth="1"/>
    <col min="8705" max="8705" width="6" customWidth="1"/>
    <col min="8706" max="8706" width="8.7109375" customWidth="1"/>
    <col min="8707" max="8707" width="44.42578125" customWidth="1"/>
    <col min="8708" max="8708" width="9.42578125" customWidth="1"/>
    <col min="8709" max="8709" width="14.140625" customWidth="1"/>
    <col min="8710" max="8710" width="7.5703125" customWidth="1"/>
    <col min="8711" max="8711" width="10.5703125" customWidth="1"/>
    <col min="8712" max="8712" width="14.28515625" customWidth="1"/>
    <col min="8713" max="8713" width="8.85546875" customWidth="1"/>
    <col min="8714" max="8714" width="11.5703125" customWidth="1"/>
    <col min="8715" max="8715" width="10.85546875" customWidth="1"/>
    <col min="8961" max="8961" width="6" customWidth="1"/>
    <col min="8962" max="8962" width="8.7109375" customWidth="1"/>
    <col min="8963" max="8963" width="44.42578125" customWidth="1"/>
    <col min="8964" max="8964" width="9.42578125" customWidth="1"/>
    <col min="8965" max="8965" width="14.140625" customWidth="1"/>
    <col min="8966" max="8966" width="7.5703125" customWidth="1"/>
    <col min="8967" max="8967" width="10.5703125" customWidth="1"/>
    <col min="8968" max="8968" width="14.28515625" customWidth="1"/>
    <col min="8969" max="8969" width="8.85546875" customWidth="1"/>
    <col min="8970" max="8970" width="11.5703125" customWidth="1"/>
    <col min="8971" max="8971" width="10.85546875" customWidth="1"/>
    <col min="9217" max="9217" width="6" customWidth="1"/>
    <col min="9218" max="9218" width="8.7109375" customWidth="1"/>
    <col min="9219" max="9219" width="44.42578125" customWidth="1"/>
    <col min="9220" max="9220" width="9.42578125" customWidth="1"/>
    <col min="9221" max="9221" width="14.140625" customWidth="1"/>
    <col min="9222" max="9222" width="7.5703125" customWidth="1"/>
    <col min="9223" max="9223" width="10.5703125" customWidth="1"/>
    <col min="9224" max="9224" width="14.28515625" customWidth="1"/>
    <col min="9225" max="9225" width="8.85546875" customWidth="1"/>
    <col min="9226" max="9226" width="11.5703125" customWidth="1"/>
    <col min="9227" max="9227" width="10.85546875" customWidth="1"/>
    <col min="9473" max="9473" width="6" customWidth="1"/>
    <col min="9474" max="9474" width="8.7109375" customWidth="1"/>
    <col min="9475" max="9475" width="44.42578125" customWidth="1"/>
    <col min="9476" max="9476" width="9.42578125" customWidth="1"/>
    <col min="9477" max="9477" width="14.140625" customWidth="1"/>
    <col min="9478" max="9478" width="7.5703125" customWidth="1"/>
    <col min="9479" max="9479" width="10.5703125" customWidth="1"/>
    <col min="9480" max="9480" width="14.28515625" customWidth="1"/>
    <col min="9481" max="9481" width="8.85546875" customWidth="1"/>
    <col min="9482" max="9482" width="11.5703125" customWidth="1"/>
    <col min="9483" max="9483" width="10.85546875" customWidth="1"/>
    <col min="9729" max="9729" width="6" customWidth="1"/>
    <col min="9730" max="9730" width="8.7109375" customWidth="1"/>
    <col min="9731" max="9731" width="44.42578125" customWidth="1"/>
    <col min="9732" max="9732" width="9.42578125" customWidth="1"/>
    <col min="9733" max="9733" width="14.140625" customWidth="1"/>
    <col min="9734" max="9734" width="7.5703125" customWidth="1"/>
    <col min="9735" max="9735" width="10.5703125" customWidth="1"/>
    <col min="9736" max="9736" width="14.28515625" customWidth="1"/>
    <col min="9737" max="9737" width="8.85546875" customWidth="1"/>
    <col min="9738" max="9738" width="11.5703125" customWidth="1"/>
    <col min="9739" max="9739" width="10.85546875" customWidth="1"/>
    <col min="9985" max="9985" width="6" customWidth="1"/>
    <col min="9986" max="9986" width="8.7109375" customWidth="1"/>
    <col min="9987" max="9987" width="44.42578125" customWidth="1"/>
    <col min="9988" max="9988" width="9.42578125" customWidth="1"/>
    <col min="9989" max="9989" width="14.140625" customWidth="1"/>
    <col min="9990" max="9990" width="7.5703125" customWidth="1"/>
    <col min="9991" max="9991" width="10.5703125" customWidth="1"/>
    <col min="9992" max="9992" width="14.28515625" customWidth="1"/>
    <col min="9993" max="9993" width="8.85546875" customWidth="1"/>
    <col min="9994" max="9994" width="11.5703125" customWidth="1"/>
    <col min="9995" max="9995" width="10.85546875" customWidth="1"/>
    <col min="10241" max="10241" width="6" customWidth="1"/>
    <col min="10242" max="10242" width="8.7109375" customWidth="1"/>
    <col min="10243" max="10243" width="44.42578125" customWidth="1"/>
    <col min="10244" max="10244" width="9.42578125" customWidth="1"/>
    <col min="10245" max="10245" width="14.140625" customWidth="1"/>
    <col min="10246" max="10246" width="7.5703125" customWidth="1"/>
    <col min="10247" max="10247" width="10.5703125" customWidth="1"/>
    <col min="10248" max="10248" width="14.28515625" customWidth="1"/>
    <col min="10249" max="10249" width="8.85546875" customWidth="1"/>
    <col min="10250" max="10250" width="11.5703125" customWidth="1"/>
    <col min="10251" max="10251" width="10.85546875" customWidth="1"/>
    <col min="10497" max="10497" width="6" customWidth="1"/>
    <col min="10498" max="10498" width="8.7109375" customWidth="1"/>
    <col min="10499" max="10499" width="44.42578125" customWidth="1"/>
    <col min="10500" max="10500" width="9.42578125" customWidth="1"/>
    <col min="10501" max="10501" width="14.140625" customWidth="1"/>
    <col min="10502" max="10502" width="7.5703125" customWidth="1"/>
    <col min="10503" max="10503" width="10.5703125" customWidth="1"/>
    <col min="10504" max="10504" width="14.28515625" customWidth="1"/>
    <col min="10505" max="10505" width="8.85546875" customWidth="1"/>
    <col min="10506" max="10506" width="11.5703125" customWidth="1"/>
    <col min="10507" max="10507" width="10.85546875" customWidth="1"/>
    <col min="10753" max="10753" width="6" customWidth="1"/>
    <col min="10754" max="10754" width="8.7109375" customWidth="1"/>
    <col min="10755" max="10755" width="44.42578125" customWidth="1"/>
    <col min="10756" max="10756" width="9.42578125" customWidth="1"/>
    <col min="10757" max="10757" width="14.140625" customWidth="1"/>
    <col min="10758" max="10758" width="7.5703125" customWidth="1"/>
    <col min="10759" max="10759" width="10.5703125" customWidth="1"/>
    <col min="10760" max="10760" width="14.28515625" customWidth="1"/>
    <col min="10761" max="10761" width="8.85546875" customWidth="1"/>
    <col min="10762" max="10762" width="11.5703125" customWidth="1"/>
    <col min="10763" max="10763" width="10.85546875" customWidth="1"/>
    <col min="11009" max="11009" width="6" customWidth="1"/>
    <col min="11010" max="11010" width="8.7109375" customWidth="1"/>
    <col min="11011" max="11011" width="44.42578125" customWidth="1"/>
    <col min="11012" max="11012" width="9.42578125" customWidth="1"/>
    <col min="11013" max="11013" width="14.140625" customWidth="1"/>
    <col min="11014" max="11014" width="7.5703125" customWidth="1"/>
    <col min="11015" max="11015" width="10.5703125" customWidth="1"/>
    <col min="11016" max="11016" width="14.28515625" customWidth="1"/>
    <col min="11017" max="11017" width="8.85546875" customWidth="1"/>
    <col min="11018" max="11018" width="11.5703125" customWidth="1"/>
    <col min="11019" max="11019" width="10.85546875" customWidth="1"/>
    <col min="11265" max="11265" width="6" customWidth="1"/>
    <col min="11266" max="11266" width="8.7109375" customWidth="1"/>
    <col min="11267" max="11267" width="44.42578125" customWidth="1"/>
    <col min="11268" max="11268" width="9.42578125" customWidth="1"/>
    <col min="11269" max="11269" width="14.140625" customWidth="1"/>
    <col min="11270" max="11270" width="7.5703125" customWidth="1"/>
    <col min="11271" max="11271" width="10.5703125" customWidth="1"/>
    <col min="11272" max="11272" width="14.28515625" customWidth="1"/>
    <col min="11273" max="11273" width="8.85546875" customWidth="1"/>
    <col min="11274" max="11274" width="11.5703125" customWidth="1"/>
    <col min="11275" max="11275" width="10.85546875" customWidth="1"/>
    <col min="11521" max="11521" width="6" customWidth="1"/>
    <col min="11522" max="11522" width="8.7109375" customWidth="1"/>
    <col min="11523" max="11523" width="44.42578125" customWidth="1"/>
    <col min="11524" max="11524" width="9.42578125" customWidth="1"/>
    <col min="11525" max="11525" width="14.140625" customWidth="1"/>
    <col min="11526" max="11526" width="7.5703125" customWidth="1"/>
    <col min="11527" max="11527" width="10.5703125" customWidth="1"/>
    <col min="11528" max="11528" width="14.28515625" customWidth="1"/>
    <col min="11529" max="11529" width="8.85546875" customWidth="1"/>
    <col min="11530" max="11530" width="11.5703125" customWidth="1"/>
    <col min="11531" max="11531" width="10.85546875" customWidth="1"/>
    <col min="11777" max="11777" width="6" customWidth="1"/>
    <col min="11778" max="11778" width="8.7109375" customWidth="1"/>
    <col min="11779" max="11779" width="44.42578125" customWidth="1"/>
    <col min="11780" max="11780" width="9.42578125" customWidth="1"/>
    <col min="11781" max="11781" width="14.140625" customWidth="1"/>
    <col min="11782" max="11782" width="7.5703125" customWidth="1"/>
    <col min="11783" max="11783" width="10.5703125" customWidth="1"/>
    <col min="11784" max="11784" width="14.28515625" customWidth="1"/>
    <col min="11785" max="11785" width="8.85546875" customWidth="1"/>
    <col min="11786" max="11786" width="11.5703125" customWidth="1"/>
    <col min="11787" max="11787" width="10.85546875" customWidth="1"/>
    <col min="12033" max="12033" width="6" customWidth="1"/>
    <col min="12034" max="12034" width="8.7109375" customWidth="1"/>
    <col min="12035" max="12035" width="44.42578125" customWidth="1"/>
    <col min="12036" max="12036" width="9.42578125" customWidth="1"/>
    <col min="12037" max="12037" width="14.140625" customWidth="1"/>
    <col min="12038" max="12038" width="7.5703125" customWidth="1"/>
    <col min="12039" max="12039" width="10.5703125" customWidth="1"/>
    <col min="12040" max="12040" width="14.28515625" customWidth="1"/>
    <col min="12041" max="12041" width="8.85546875" customWidth="1"/>
    <col min="12042" max="12042" width="11.5703125" customWidth="1"/>
    <col min="12043" max="12043" width="10.85546875" customWidth="1"/>
    <col min="12289" max="12289" width="6" customWidth="1"/>
    <col min="12290" max="12290" width="8.7109375" customWidth="1"/>
    <col min="12291" max="12291" width="44.42578125" customWidth="1"/>
    <col min="12292" max="12292" width="9.42578125" customWidth="1"/>
    <col min="12293" max="12293" width="14.140625" customWidth="1"/>
    <col min="12294" max="12294" width="7.5703125" customWidth="1"/>
    <col min="12295" max="12295" width="10.5703125" customWidth="1"/>
    <col min="12296" max="12296" width="14.28515625" customWidth="1"/>
    <col min="12297" max="12297" width="8.85546875" customWidth="1"/>
    <col min="12298" max="12298" width="11.5703125" customWidth="1"/>
    <col min="12299" max="12299" width="10.85546875" customWidth="1"/>
    <col min="12545" max="12545" width="6" customWidth="1"/>
    <col min="12546" max="12546" width="8.7109375" customWidth="1"/>
    <col min="12547" max="12547" width="44.42578125" customWidth="1"/>
    <col min="12548" max="12548" width="9.42578125" customWidth="1"/>
    <col min="12549" max="12549" width="14.140625" customWidth="1"/>
    <col min="12550" max="12550" width="7.5703125" customWidth="1"/>
    <col min="12551" max="12551" width="10.5703125" customWidth="1"/>
    <col min="12552" max="12552" width="14.28515625" customWidth="1"/>
    <col min="12553" max="12553" width="8.85546875" customWidth="1"/>
    <col min="12554" max="12554" width="11.5703125" customWidth="1"/>
    <col min="12555" max="12555" width="10.85546875" customWidth="1"/>
    <col min="12801" max="12801" width="6" customWidth="1"/>
    <col min="12802" max="12802" width="8.7109375" customWidth="1"/>
    <col min="12803" max="12803" width="44.42578125" customWidth="1"/>
    <col min="12804" max="12804" width="9.42578125" customWidth="1"/>
    <col min="12805" max="12805" width="14.140625" customWidth="1"/>
    <col min="12806" max="12806" width="7.5703125" customWidth="1"/>
    <col min="12807" max="12807" width="10.5703125" customWidth="1"/>
    <col min="12808" max="12808" width="14.28515625" customWidth="1"/>
    <col min="12809" max="12809" width="8.85546875" customWidth="1"/>
    <col min="12810" max="12810" width="11.5703125" customWidth="1"/>
    <col min="12811" max="12811" width="10.85546875" customWidth="1"/>
    <col min="13057" max="13057" width="6" customWidth="1"/>
    <col min="13058" max="13058" width="8.7109375" customWidth="1"/>
    <col min="13059" max="13059" width="44.42578125" customWidth="1"/>
    <col min="13060" max="13060" width="9.42578125" customWidth="1"/>
    <col min="13061" max="13061" width="14.140625" customWidth="1"/>
    <col min="13062" max="13062" width="7.5703125" customWidth="1"/>
    <col min="13063" max="13063" width="10.5703125" customWidth="1"/>
    <col min="13064" max="13064" width="14.28515625" customWidth="1"/>
    <col min="13065" max="13065" width="8.85546875" customWidth="1"/>
    <col min="13066" max="13066" width="11.5703125" customWidth="1"/>
    <col min="13067" max="13067" width="10.85546875" customWidth="1"/>
    <col min="13313" max="13313" width="6" customWidth="1"/>
    <col min="13314" max="13314" width="8.7109375" customWidth="1"/>
    <col min="13315" max="13315" width="44.42578125" customWidth="1"/>
    <col min="13316" max="13316" width="9.42578125" customWidth="1"/>
    <col min="13317" max="13317" width="14.140625" customWidth="1"/>
    <col min="13318" max="13318" width="7.5703125" customWidth="1"/>
    <col min="13319" max="13319" width="10.5703125" customWidth="1"/>
    <col min="13320" max="13320" width="14.28515625" customWidth="1"/>
    <col min="13321" max="13321" width="8.85546875" customWidth="1"/>
    <col min="13322" max="13322" width="11.5703125" customWidth="1"/>
    <col min="13323" max="13323" width="10.85546875" customWidth="1"/>
    <col min="13569" max="13569" width="6" customWidth="1"/>
    <col min="13570" max="13570" width="8.7109375" customWidth="1"/>
    <col min="13571" max="13571" width="44.42578125" customWidth="1"/>
    <col min="13572" max="13572" width="9.42578125" customWidth="1"/>
    <col min="13573" max="13573" width="14.140625" customWidth="1"/>
    <col min="13574" max="13574" width="7.5703125" customWidth="1"/>
    <col min="13575" max="13575" width="10.5703125" customWidth="1"/>
    <col min="13576" max="13576" width="14.28515625" customWidth="1"/>
    <col min="13577" max="13577" width="8.85546875" customWidth="1"/>
    <col min="13578" max="13578" width="11.5703125" customWidth="1"/>
    <col min="13579" max="13579" width="10.85546875" customWidth="1"/>
    <col min="13825" max="13825" width="6" customWidth="1"/>
    <col min="13826" max="13826" width="8.7109375" customWidth="1"/>
    <col min="13827" max="13827" width="44.42578125" customWidth="1"/>
    <col min="13828" max="13828" width="9.42578125" customWidth="1"/>
    <col min="13829" max="13829" width="14.140625" customWidth="1"/>
    <col min="13830" max="13830" width="7.5703125" customWidth="1"/>
    <col min="13831" max="13831" width="10.5703125" customWidth="1"/>
    <col min="13832" max="13832" width="14.28515625" customWidth="1"/>
    <col min="13833" max="13833" width="8.85546875" customWidth="1"/>
    <col min="13834" max="13834" width="11.5703125" customWidth="1"/>
    <col min="13835" max="13835" width="10.85546875" customWidth="1"/>
    <col min="14081" max="14081" width="6" customWidth="1"/>
    <col min="14082" max="14082" width="8.7109375" customWidth="1"/>
    <col min="14083" max="14083" width="44.42578125" customWidth="1"/>
    <col min="14084" max="14084" width="9.42578125" customWidth="1"/>
    <col min="14085" max="14085" width="14.140625" customWidth="1"/>
    <col min="14086" max="14086" width="7.5703125" customWidth="1"/>
    <col min="14087" max="14087" width="10.5703125" customWidth="1"/>
    <col min="14088" max="14088" width="14.28515625" customWidth="1"/>
    <col min="14089" max="14089" width="8.85546875" customWidth="1"/>
    <col min="14090" max="14090" width="11.5703125" customWidth="1"/>
    <col min="14091" max="14091" width="10.85546875" customWidth="1"/>
    <col min="14337" max="14337" width="6" customWidth="1"/>
    <col min="14338" max="14338" width="8.7109375" customWidth="1"/>
    <col min="14339" max="14339" width="44.42578125" customWidth="1"/>
    <col min="14340" max="14340" width="9.42578125" customWidth="1"/>
    <col min="14341" max="14341" width="14.140625" customWidth="1"/>
    <col min="14342" max="14342" width="7.5703125" customWidth="1"/>
    <col min="14343" max="14343" width="10.5703125" customWidth="1"/>
    <col min="14344" max="14344" width="14.28515625" customWidth="1"/>
    <col min="14345" max="14345" width="8.85546875" customWidth="1"/>
    <col min="14346" max="14346" width="11.5703125" customWidth="1"/>
    <col min="14347" max="14347" width="10.85546875" customWidth="1"/>
    <col min="14593" max="14593" width="6" customWidth="1"/>
    <col min="14594" max="14594" width="8.7109375" customWidth="1"/>
    <col min="14595" max="14595" width="44.42578125" customWidth="1"/>
    <col min="14596" max="14596" width="9.42578125" customWidth="1"/>
    <col min="14597" max="14597" width="14.140625" customWidth="1"/>
    <col min="14598" max="14598" width="7.5703125" customWidth="1"/>
    <col min="14599" max="14599" width="10.5703125" customWidth="1"/>
    <col min="14600" max="14600" width="14.28515625" customWidth="1"/>
    <col min="14601" max="14601" width="8.85546875" customWidth="1"/>
    <col min="14602" max="14602" width="11.5703125" customWidth="1"/>
    <col min="14603" max="14603" width="10.85546875" customWidth="1"/>
    <col min="14849" max="14849" width="6" customWidth="1"/>
    <col min="14850" max="14850" width="8.7109375" customWidth="1"/>
    <col min="14851" max="14851" width="44.42578125" customWidth="1"/>
    <col min="14852" max="14852" width="9.42578125" customWidth="1"/>
    <col min="14853" max="14853" width="14.140625" customWidth="1"/>
    <col min="14854" max="14854" width="7.5703125" customWidth="1"/>
    <col min="14855" max="14855" width="10.5703125" customWidth="1"/>
    <col min="14856" max="14856" width="14.28515625" customWidth="1"/>
    <col min="14857" max="14857" width="8.85546875" customWidth="1"/>
    <col min="14858" max="14858" width="11.5703125" customWidth="1"/>
    <col min="14859" max="14859" width="10.85546875" customWidth="1"/>
    <col min="15105" max="15105" width="6" customWidth="1"/>
    <col min="15106" max="15106" width="8.7109375" customWidth="1"/>
    <col min="15107" max="15107" width="44.42578125" customWidth="1"/>
    <col min="15108" max="15108" width="9.42578125" customWidth="1"/>
    <col min="15109" max="15109" width="14.140625" customWidth="1"/>
    <col min="15110" max="15110" width="7.5703125" customWidth="1"/>
    <col min="15111" max="15111" width="10.5703125" customWidth="1"/>
    <col min="15112" max="15112" width="14.28515625" customWidth="1"/>
    <col min="15113" max="15113" width="8.85546875" customWidth="1"/>
    <col min="15114" max="15114" width="11.5703125" customWidth="1"/>
    <col min="15115" max="15115" width="10.85546875" customWidth="1"/>
    <col min="15361" max="15361" width="6" customWidth="1"/>
    <col min="15362" max="15362" width="8.7109375" customWidth="1"/>
    <col min="15363" max="15363" width="44.42578125" customWidth="1"/>
    <col min="15364" max="15364" width="9.42578125" customWidth="1"/>
    <col min="15365" max="15365" width="14.140625" customWidth="1"/>
    <col min="15366" max="15366" width="7.5703125" customWidth="1"/>
    <col min="15367" max="15367" width="10.5703125" customWidth="1"/>
    <col min="15368" max="15368" width="14.28515625" customWidth="1"/>
    <col min="15369" max="15369" width="8.85546875" customWidth="1"/>
    <col min="15370" max="15370" width="11.5703125" customWidth="1"/>
    <col min="15371" max="15371" width="10.85546875" customWidth="1"/>
    <col min="15617" max="15617" width="6" customWidth="1"/>
    <col min="15618" max="15618" width="8.7109375" customWidth="1"/>
    <col min="15619" max="15619" width="44.42578125" customWidth="1"/>
    <col min="15620" max="15620" width="9.42578125" customWidth="1"/>
    <col min="15621" max="15621" width="14.140625" customWidth="1"/>
    <col min="15622" max="15622" width="7.5703125" customWidth="1"/>
    <col min="15623" max="15623" width="10.5703125" customWidth="1"/>
    <col min="15624" max="15624" width="14.28515625" customWidth="1"/>
    <col min="15625" max="15625" width="8.85546875" customWidth="1"/>
    <col min="15626" max="15626" width="11.5703125" customWidth="1"/>
    <col min="15627" max="15627" width="10.85546875" customWidth="1"/>
    <col min="15873" max="15873" width="6" customWidth="1"/>
    <col min="15874" max="15874" width="8.7109375" customWidth="1"/>
    <col min="15875" max="15875" width="44.42578125" customWidth="1"/>
    <col min="15876" max="15876" width="9.42578125" customWidth="1"/>
    <col min="15877" max="15877" width="14.140625" customWidth="1"/>
    <col min="15878" max="15878" width="7.5703125" customWidth="1"/>
    <col min="15879" max="15879" width="10.5703125" customWidth="1"/>
    <col min="15880" max="15880" width="14.28515625" customWidth="1"/>
    <col min="15881" max="15881" width="8.85546875" customWidth="1"/>
    <col min="15882" max="15882" width="11.5703125" customWidth="1"/>
    <col min="15883" max="15883" width="10.85546875" customWidth="1"/>
    <col min="16129" max="16129" width="6" customWidth="1"/>
    <col min="16130" max="16130" width="8.7109375" customWidth="1"/>
    <col min="16131" max="16131" width="44.42578125" customWidth="1"/>
    <col min="16132" max="16132" width="9.42578125" customWidth="1"/>
    <col min="16133" max="16133" width="14.140625" customWidth="1"/>
    <col min="16134" max="16134" width="7.5703125" customWidth="1"/>
    <col min="16135" max="16135" width="10.5703125" customWidth="1"/>
    <col min="16136" max="16136" width="14.28515625" customWidth="1"/>
    <col min="16137" max="16137" width="8.85546875" customWidth="1"/>
    <col min="16138" max="16138" width="11.5703125" customWidth="1"/>
    <col min="16139" max="16139" width="10.85546875" customWidth="1"/>
  </cols>
  <sheetData>
    <row r="1" spans="1:13" hidden="1" x14ac:dyDescent="0.25"/>
    <row r="2" spans="1:13" hidden="1" x14ac:dyDescent="0.25"/>
    <row r="3" spans="1:13" hidden="1" x14ac:dyDescent="0.25"/>
    <row r="4" spans="1:13" x14ac:dyDescent="0.25">
      <c r="K4" s="79" t="s">
        <v>259</v>
      </c>
    </row>
    <row r="5" spans="1:13" ht="31.5" customHeight="1" x14ac:dyDescent="0.25">
      <c r="A5" s="509" t="s">
        <v>260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</row>
    <row r="6" spans="1:13" ht="9.75" customHeight="1" x14ac:dyDescent="0.25">
      <c r="A6" s="80"/>
      <c r="B6" s="80"/>
      <c r="C6" s="68"/>
      <c r="D6" s="81"/>
      <c r="E6" s="82"/>
      <c r="F6" s="83"/>
      <c r="G6" s="81"/>
      <c r="H6" s="82"/>
      <c r="I6" s="83"/>
      <c r="J6" s="82"/>
      <c r="K6" s="84"/>
    </row>
    <row r="7" spans="1:13" ht="18.75" customHeight="1" x14ac:dyDescent="0.25">
      <c r="A7" s="518" t="s">
        <v>2</v>
      </c>
      <c r="B7" s="519" t="s">
        <v>68</v>
      </c>
      <c r="C7" s="521" t="s">
        <v>261</v>
      </c>
      <c r="D7" s="85"/>
      <c r="E7" s="523" t="s">
        <v>262</v>
      </c>
      <c r="F7" s="86"/>
      <c r="G7" s="87"/>
      <c r="H7" s="523" t="s">
        <v>263</v>
      </c>
      <c r="I7" s="88"/>
      <c r="J7" s="526" t="s">
        <v>13</v>
      </c>
      <c r="K7" s="527"/>
    </row>
    <row r="8" spans="1:13" ht="32.25" customHeight="1" x14ac:dyDescent="0.25">
      <c r="A8" s="518"/>
      <c r="B8" s="520"/>
      <c r="C8" s="522"/>
      <c r="D8" s="89"/>
      <c r="E8" s="524"/>
      <c r="F8" s="90"/>
      <c r="G8" s="89"/>
      <c r="H8" s="525"/>
      <c r="I8" s="91"/>
      <c r="J8" s="195" t="s">
        <v>264</v>
      </c>
      <c r="K8" s="196" t="s">
        <v>265</v>
      </c>
    </row>
    <row r="9" spans="1:13" hidden="1" x14ac:dyDescent="0.25">
      <c r="A9" s="92">
        <v>1</v>
      </c>
      <c r="B9" s="92">
        <v>2</v>
      </c>
      <c r="C9" s="93">
        <v>3</v>
      </c>
      <c r="D9" s="94"/>
      <c r="E9" s="95">
        <v>4</v>
      </c>
      <c r="F9" s="96"/>
      <c r="G9" s="94"/>
      <c r="H9" s="95">
        <v>5</v>
      </c>
      <c r="I9" s="96"/>
      <c r="J9" s="97">
        <v>6</v>
      </c>
      <c r="K9" s="97">
        <v>7</v>
      </c>
    </row>
    <row r="10" spans="1:13" s="118" customFormat="1" ht="12.75" x14ac:dyDescent="0.2">
      <c r="A10" s="98"/>
      <c r="B10" s="98"/>
      <c r="C10" s="99"/>
      <c r="D10" s="100" t="s">
        <v>5</v>
      </c>
      <c r="E10" s="101" t="s">
        <v>6</v>
      </c>
      <c r="F10" s="102" t="s">
        <v>70</v>
      </c>
      <c r="G10" s="100" t="s">
        <v>5</v>
      </c>
      <c r="H10" s="101" t="s">
        <v>6</v>
      </c>
      <c r="I10" s="102" t="s">
        <v>70</v>
      </c>
      <c r="J10" s="101"/>
      <c r="K10" s="101"/>
    </row>
    <row r="11" spans="1:13" s="27" customFormat="1" ht="16.5" customHeight="1" x14ac:dyDescent="0.2">
      <c r="A11" s="104" t="s">
        <v>16</v>
      </c>
      <c r="B11" s="104"/>
      <c r="C11" s="105" t="s">
        <v>17</v>
      </c>
      <c r="D11" s="106">
        <f>D12</f>
        <v>531212.94999999995</v>
      </c>
      <c r="E11" s="106">
        <f>E12</f>
        <v>531212.94999999995</v>
      </c>
      <c r="F11" s="233">
        <f t="shared" ref="F11:F23" si="0">E11/D11*100</f>
        <v>100</v>
      </c>
      <c r="G11" s="106">
        <f>G12</f>
        <v>531212.94999999995</v>
      </c>
      <c r="H11" s="106">
        <f>H12</f>
        <v>531212.94999999995</v>
      </c>
      <c r="I11" s="233">
        <f t="shared" ref="I11:I23" si="1">H11/G11*100</f>
        <v>100</v>
      </c>
      <c r="J11" s="106">
        <f>J12</f>
        <v>531212.94999999995</v>
      </c>
      <c r="K11" s="106">
        <f>K10</f>
        <v>0</v>
      </c>
      <c r="M11" s="234"/>
    </row>
    <row r="12" spans="1:13" s="118" customFormat="1" ht="15.75" customHeight="1" x14ac:dyDescent="0.2">
      <c r="A12" s="108"/>
      <c r="B12" s="108" t="s">
        <v>78</v>
      </c>
      <c r="C12" s="109" t="s">
        <v>79</v>
      </c>
      <c r="D12" s="110">
        <v>531212.94999999995</v>
      </c>
      <c r="E12" s="110">
        <f>D12</f>
        <v>531212.94999999995</v>
      </c>
      <c r="F12" s="110">
        <f t="shared" si="0"/>
        <v>100</v>
      </c>
      <c r="G12" s="110">
        <v>531212.94999999995</v>
      </c>
      <c r="H12" s="110">
        <f>G12</f>
        <v>531212.94999999995</v>
      </c>
      <c r="I12" s="110">
        <f t="shared" si="1"/>
        <v>100</v>
      </c>
      <c r="J12" s="110">
        <f>H12</f>
        <v>531212.94999999995</v>
      </c>
      <c r="K12" s="110">
        <f>K11</f>
        <v>0</v>
      </c>
      <c r="M12" s="234"/>
    </row>
    <row r="13" spans="1:13" s="27" customFormat="1" ht="18" customHeight="1" x14ac:dyDescent="0.2">
      <c r="A13" s="111">
        <v>750</v>
      </c>
      <c r="B13" s="111"/>
      <c r="C13" s="112" t="s">
        <v>102</v>
      </c>
      <c r="D13" s="113">
        <f>SUM(D14:D14)</f>
        <v>87809.33</v>
      </c>
      <c r="E13" s="113">
        <f>SUM(E14:E14)</f>
        <v>85726.2</v>
      </c>
      <c r="F13" s="106">
        <f t="shared" si="0"/>
        <v>97.627666672778389</v>
      </c>
      <c r="G13" s="113">
        <f>SUM(G14:G14)</f>
        <v>87809.33</v>
      </c>
      <c r="H13" s="113">
        <f>SUM(H14:H14)</f>
        <v>85726.2</v>
      </c>
      <c r="I13" s="106">
        <f t="shared" si="1"/>
        <v>97.627666672778389</v>
      </c>
      <c r="J13" s="113">
        <f>SUM(J14:J14)</f>
        <v>85726.2</v>
      </c>
      <c r="K13" s="113">
        <v>0</v>
      </c>
      <c r="M13" s="234"/>
    </row>
    <row r="14" spans="1:13" ht="17.25" customHeight="1" x14ac:dyDescent="0.25">
      <c r="A14" s="114"/>
      <c r="B14" s="114">
        <v>75011</v>
      </c>
      <c r="C14" s="115" t="s">
        <v>95</v>
      </c>
      <c r="D14" s="116">
        <v>87809.33</v>
      </c>
      <c r="E14" s="116">
        <v>85726.2</v>
      </c>
      <c r="F14" s="110">
        <f t="shared" si="0"/>
        <v>97.627666672778389</v>
      </c>
      <c r="G14" s="116">
        <v>87809.33</v>
      </c>
      <c r="H14" s="116">
        <f>E14</f>
        <v>85726.2</v>
      </c>
      <c r="I14" s="235">
        <f t="shared" si="1"/>
        <v>97.627666672778389</v>
      </c>
      <c r="J14" s="110">
        <f>H14</f>
        <v>85726.2</v>
      </c>
      <c r="K14" s="116">
        <v>0</v>
      </c>
      <c r="M14" s="234"/>
    </row>
    <row r="15" spans="1:13" s="27" customFormat="1" ht="43.5" customHeight="1" x14ac:dyDescent="0.2">
      <c r="A15" s="111">
        <v>751</v>
      </c>
      <c r="B15" s="111"/>
      <c r="C15" s="179" t="s">
        <v>197</v>
      </c>
      <c r="D15" s="236">
        <f>D16</f>
        <v>1346</v>
      </c>
      <c r="E15" s="113">
        <f>E16</f>
        <v>1346</v>
      </c>
      <c r="F15" s="106">
        <f t="shared" si="0"/>
        <v>100</v>
      </c>
      <c r="G15" s="236">
        <f>G16</f>
        <v>1346</v>
      </c>
      <c r="H15" s="236">
        <f>H16</f>
        <v>1346</v>
      </c>
      <c r="I15" s="106">
        <f t="shared" si="1"/>
        <v>100</v>
      </c>
      <c r="J15" s="236">
        <f>J16</f>
        <v>1346</v>
      </c>
      <c r="K15" s="236">
        <f>K16</f>
        <v>0</v>
      </c>
      <c r="M15" s="234"/>
    </row>
    <row r="16" spans="1:13" ht="29.25" customHeight="1" x14ac:dyDescent="0.25">
      <c r="A16" s="114"/>
      <c r="B16" s="114">
        <v>75101</v>
      </c>
      <c r="C16" s="117" t="s">
        <v>196</v>
      </c>
      <c r="D16" s="237">
        <v>1346</v>
      </c>
      <c r="E16" s="116">
        <v>1346</v>
      </c>
      <c r="F16" s="110">
        <f t="shared" si="0"/>
        <v>100</v>
      </c>
      <c r="G16" s="116">
        <v>1346</v>
      </c>
      <c r="H16" s="116">
        <v>1346</v>
      </c>
      <c r="I16" s="235">
        <f t="shared" si="1"/>
        <v>100</v>
      </c>
      <c r="J16" s="110">
        <f>H16</f>
        <v>1346</v>
      </c>
      <c r="K16" s="116">
        <v>0</v>
      </c>
      <c r="M16" s="234"/>
    </row>
    <row r="17" spans="1:13" s="27" customFormat="1" ht="15.75" customHeight="1" x14ac:dyDescent="0.2">
      <c r="A17" s="104" t="s">
        <v>53</v>
      </c>
      <c r="B17" s="178"/>
      <c r="C17" s="179" t="s">
        <v>54</v>
      </c>
      <c r="D17" s="106">
        <f>D18</f>
        <v>52828.68</v>
      </c>
      <c r="E17" s="106">
        <f>E18</f>
        <v>50552.13</v>
      </c>
      <c r="F17" s="233">
        <f t="shared" si="0"/>
        <v>95.690693009933241</v>
      </c>
      <c r="G17" s="106">
        <f>G18</f>
        <v>52828.68</v>
      </c>
      <c r="H17" s="106">
        <f>H18</f>
        <v>50552.13</v>
      </c>
      <c r="I17" s="233">
        <f t="shared" si="1"/>
        <v>95.690693009933241</v>
      </c>
      <c r="J17" s="106">
        <f>J18</f>
        <v>50552.13</v>
      </c>
      <c r="K17" s="106">
        <v>0</v>
      </c>
      <c r="M17" s="234"/>
    </row>
    <row r="18" spans="1:13" s="118" customFormat="1" ht="41.25" customHeight="1" x14ac:dyDescent="0.2">
      <c r="A18" s="108"/>
      <c r="B18" s="177" t="s">
        <v>321</v>
      </c>
      <c r="C18" s="57" t="s">
        <v>322</v>
      </c>
      <c r="D18" s="110">
        <v>52828.68</v>
      </c>
      <c r="E18" s="110">
        <v>50552.13</v>
      </c>
      <c r="F18" s="110">
        <f t="shared" si="0"/>
        <v>95.690693009933241</v>
      </c>
      <c r="G18" s="110">
        <v>52828.68</v>
      </c>
      <c r="H18" s="110">
        <v>50552.13</v>
      </c>
      <c r="I18" s="110">
        <f t="shared" si="1"/>
        <v>95.690693009933241</v>
      </c>
      <c r="J18" s="110">
        <f>H18</f>
        <v>50552.13</v>
      </c>
      <c r="K18" s="110">
        <v>0</v>
      </c>
      <c r="M18" s="234"/>
    </row>
    <row r="19" spans="1:13" s="118" customFormat="1" ht="24" customHeight="1" x14ac:dyDescent="0.2">
      <c r="A19" s="111" t="s">
        <v>57</v>
      </c>
      <c r="B19" s="177"/>
      <c r="C19" s="112" t="s">
        <v>58</v>
      </c>
      <c r="D19" s="233">
        <f>D20</f>
        <v>587491</v>
      </c>
      <c r="E19" s="233">
        <f>E20</f>
        <v>577221.51</v>
      </c>
      <c r="F19" s="233">
        <f>E19/D19*100</f>
        <v>98.251974923871174</v>
      </c>
      <c r="G19" s="233">
        <f>G20</f>
        <v>587491</v>
      </c>
      <c r="H19" s="233">
        <f>H20</f>
        <v>577221.51</v>
      </c>
      <c r="I19" s="233">
        <f>H19/G19*100</f>
        <v>98.251974923871174</v>
      </c>
      <c r="J19" s="233">
        <f>J20</f>
        <v>577221.51</v>
      </c>
      <c r="K19" s="233">
        <f>K20</f>
        <v>0</v>
      </c>
      <c r="M19" s="234"/>
    </row>
    <row r="20" spans="1:13" s="118" customFormat="1" ht="41.25" customHeight="1" x14ac:dyDescent="0.2">
      <c r="A20" s="108"/>
      <c r="B20" s="177" t="s">
        <v>155</v>
      </c>
      <c r="C20" s="355" t="s">
        <v>79</v>
      </c>
      <c r="D20" s="110">
        <v>587491</v>
      </c>
      <c r="E20" s="110">
        <v>577221.51</v>
      </c>
      <c r="F20" s="110">
        <f>E20/D20*100</f>
        <v>98.251974923871174</v>
      </c>
      <c r="G20" s="110">
        <v>587491</v>
      </c>
      <c r="H20" s="110">
        <f>E20</f>
        <v>577221.51</v>
      </c>
      <c r="I20" s="110">
        <f>H20/G20*100</f>
        <v>98.251974923871174</v>
      </c>
      <c r="J20" s="110">
        <v>577221.51</v>
      </c>
      <c r="K20" s="110">
        <v>0</v>
      </c>
      <c r="M20" s="234"/>
    </row>
    <row r="21" spans="1:13" s="27" customFormat="1" ht="15.75" customHeight="1" x14ac:dyDescent="0.2">
      <c r="A21" s="111" t="s">
        <v>291</v>
      </c>
      <c r="B21" s="111"/>
      <c r="C21" s="112" t="s">
        <v>292</v>
      </c>
      <c r="D21" s="113">
        <f>D22+D23+D24+D25</f>
        <v>4361990</v>
      </c>
      <c r="E21" s="113">
        <f>E22+E23+E24+E25</f>
        <v>4361988.4700000007</v>
      </c>
      <c r="F21" s="106">
        <f t="shared" si="0"/>
        <v>99.999964924266237</v>
      </c>
      <c r="G21" s="113">
        <f>G22+G23+G24+G25</f>
        <v>4361990</v>
      </c>
      <c r="H21" s="113">
        <f>H22+H23+H24+H25</f>
        <v>4361988.4700000007</v>
      </c>
      <c r="I21" s="106">
        <f t="shared" si="1"/>
        <v>99.999964924266237</v>
      </c>
      <c r="J21" s="113">
        <f>J22+J23+J24+J25</f>
        <v>4361988.4700000007</v>
      </c>
      <c r="K21" s="113">
        <f>SUM(K22:K24)</f>
        <v>0</v>
      </c>
      <c r="M21" s="234"/>
    </row>
    <row r="22" spans="1:13" ht="18" customHeight="1" x14ac:dyDescent="0.25">
      <c r="A22" s="114"/>
      <c r="B22" s="114" t="s">
        <v>293</v>
      </c>
      <c r="C22" s="117" t="s">
        <v>266</v>
      </c>
      <c r="D22" s="237">
        <v>2726956</v>
      </c>
      <c r="E22" s="116">
        <v>2726954.47</v>
      </c>
      <c r="F22" s="110">
        <f t="shared" si="0"/>
        <v>99.999943893484172</v>
      </c>
      <c r="G22" s="116">
        <v>2726956</v>
      </c>
      <c r="H22" s="116">
        <v>2726954.47</v>
      </c>
      <c r="I22" s="235">
        <f t="shared" si="1"/>
        <v>99.999943893484172</v>
      </c>
      <c r="J22" s="110">
        <f>H22</f>
        <v>2726954.47</v>
      </c>
      <c r="K22" s="116">
        <v>0</v>
      </c>
      <c r="M22" s="234"/>
    </row>
    <row r="23" spans="1:13" ht="60" x14ac:dyDescent="0.25">
      <c r="A23" s="114"/>
      <c r="B23" s="114" t="s">
        <v>294</v>
      </c>
      <c r="C23" s="117" t="s">
        <v>296</v>
      </c>
      <c r="D23" s="237">
        <v>1618475</v>
      </c>
      <c r="E23" s="116">
        <v>1618475</v>
      </c>
      <c r="F23" s="110">
        <f t="shared" si="0"/>
        <v>100</v>
      </c>
      <c r="G23" s="116">
        <v>1618475</v>
      </c>
      <c r="H23" s="116">
        <v>1618475</v>
      </c>
      <c r="I23" s="235">
        <f t="shared" si="1"/>
        <v>100</v>
      </c>
      <c r="J23" s="110">
        <f>H23</f>
        <v>1618475</v>
      </c>
      <c r="K23" s="116">
        <v>0</v>
      </c>
      <c r="M23" s="234"/>
    </row>
    <row r="24" spans="1:13" ht="16.5" customHeight="1" x14ac:dyDescent="0.25">
      <c r="A24" s="114"/>
      <c r="B24" s="114" t="s">
        <v>295</v>
      </c>
      <c r="C24" s="115" t="s">
        <v>297</v>
      </c>
      <c r="D24" s="116">
        <v>601</v>
      </c>
      <c r="E24" s="116">
        <v>601</v>
      </c>
      <c r="F24" s="110">
        <f>E24/D24*100</f>
        <v>100</v>
      </c>
      <c r="G24" s="116">
        <v>601</v>
      </c>
      <c r="H24" s="116">
        <v>601</v>
      </c>
      <c r="I24" s="235">
        <f>H24/G24*100</f>
        <v>100</v>
      </c>
      <c r="J24" s="110">
        <f>H24</f>
        <v>601</v>
      </c>
      <c r="K24" s="119">
        <v>0</v>
      </c>
      <c r="M24" s="234"/>
    </row>
    <row r="25" spans="1:13" ht="97.5" customHeight="1" x14ac:dyDescent="0.25">
      <c r="A25" s="114"/>
      <c r="B25" s="114" t="s">
        <v>323</v>
      </c>
      <c r="C25" s="164" t="s">
        <v>324</v>
      </c>
      <c r="D25" s="180">
        <v>15958</v>
      </c>
      <c r="E25" s="180">
        <v>15958</v>
      </c>
      <c r="F25" s="110">
        <f t="shared" ref="F25" si="2">E25/D25*100</f>
        <v>100</v>
      </c>
      <c r="G25" s="180">
        <v>15958</v>
      </c>
      <c r="H25" s="180">
        <v>15958</v>
      </c>
      <c r="I25" s="235">
        <f t="shared" ref="I25" si="3">H25/G25*100</f>
        <v>100</v>
      </c>
      <c r="J25" s="181">
        <f>H25</f>
        <v>15958</v>
      </c>
      <c r="K25" s="116">
        <v>0</v>
      </c>
      <c r="M25" s="234"/>
    </row>
    <row r="26" spans="1:13" s="27" customFormat="1" ht="15" customHeight="1" x14ac:dyDescent="0.2">
      <c r="A26" s="120"/>
      <c r="B26" s="121"/>
      <c r="C26" s="122" t="s">
        <v>4</v>
      </c>
      <c r="D26" s="123">
        <f>D21+D19+D17+D15+D13+D11</f>
        <v>5622677.96</v>
      </c>
      <c r="E26" s="123">
        <f>E21+E19+E17+E15+E13+E11</f>
        <v>5608047.2600000007</v>
      </c>
      <c r="F26" s="106">
        <f>E26/D26*100</f>
        <v>99.739791250644572</v>
      </c>
      <c r="G26" s="123">
        <f>G21+G19+G17+G15+G13+G11</f>
        <v>5622677.96</v>
      </c>
      <c r="H26" s="123">
        <f>H21+H19+H17+H15+H13+H11</f>
        <v>5608047.2600000007</v>
      </c>
      <c r="I26" s="106">
        <f>H26/G26*100</f>
        <v>99.739791250644572</v>
      </c>
      <c r="J26" s="123">
        <f>J21+J19+J17+J15+J13+J11</f>
        <v>5608047.2600000007</v>
      </c>
      <c r="K26" s="123">
        <f>K11+K13+K15</f>
        <v>0</v>
      </c>
      <c r="M26" s="234"/>
    </row>
  </sheetData>
  <mergeCells count="7">
    <mergeCell ref="A5:K5"/>
    <mergeCell ref="A7:A8"/>
    <mergeCell ref="B7:B8"/>
    <mergeCell ref="C7:C8"/>
    <mergeCell ref="E7:E8"/>
    <mergeCell ref="H7:H8"/>
    <mergeCell ref="J7:K7"/>
  </mergeCells>
  <pageMargins left="0.19685039370078741" right="0.19685039370078741" top="0.39370078740157483" bottom="0.39370078740157483" header="0.31496062992125984" footer="0.31496062992125984"/>
  <pageSetup paperSize="9" scale="9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0" sqref="G20"/>
    </sheetView>
  </sheetViews>
  <sheetFormatPr defaultRowHeight="15" x14ac:dyDescent="0.25"/>
  <cols>
    <col min="1" max="1" width="5.140625" customWidth="1"/>
    <col min="2" max="2" width="8.140625" customWidth="1"/>
    <col min="4" max="4" width="26.140625" customWidth="1"/>
    <col min="5" max="5" width="12.42578125" customWidth="1"/>
    <col min="6" max="6" width="11.85546875" style="22" customWidth="1"/>
    <col min="7" max="7" width="10" style="24" customWidth="1"/>
    <col min="257" max="257" width="5.140625" customWidth="1"/>
    <col min="258" max="258" width="8.140625" customWidth="1"/>
    <col min="260" max="260" width="26.140625" customWidth="1"/>
    <col min="261" max="261" width="12.42578125" customWidth="1"/>
    <col min="262" max="262" width="11.140625" customWidth="1"/>
    <col min="263" max="263" width="10" customWidth="1"/>
    <col min="513" max="513" width="5.140625" customWidth="1"/>
    <col min="514" max="514" width="8.140625" customWidth="1"/>
    <col min="516" max="516" width="26.140625" customWidth="1"/>
    <col min="517" max="517" width="12.42578125" customWidth="1"/>
    <col min="518" max="518" width="11.140625" customWidth="1"/>
    <col min="519" max="519" width="10" customWidth="1"/>
    <col min="769" max="769" width="5.140625" customWidth="1"/>
    <col min="770" max="770" width="8.140625" customWidth="1"/>
    <col min="772" max="772" width="26.140625" customWidth="1"/>
    <col min="773" max="773" width="12.42578125" customWidth="1"/>
    <col min="774" max="774" width="11.140625" customWidth="1"/>
    <col min="775" max="775" width="10" customWidth="1"/>
    <col min="1025" max="1025" width="5.140625" customWidth="1"/>
    <col min="1026" max="1026" width="8.140625" customWidth="1"/>
    <col min="1028" max="1028" width="26.140625" customWidth="1"/>
    <col min="1029" max="1029" width="12.42578125" customWidth="1"/>
    <col min="1030" max="1030" width="11.140625" customWidth="1"/>
    <col min="1031" max="1031" width="10" customWidth="1"/>
    <col min="1281" max="1281" width="5.140625" customWidth="1"/>
    <col min="1282" max="1282" width="8.140625" customWidth="1"/>
    <col min="1284" max="1284" width="26.140625" customWidth="1"/>
    <col min="1285" max="1285" width="12.42578125" customWidth="1"/>
    <col min="1286" max="1286" width="11.140625" customWidth="1"/>
    <col min="1287" max="1287" width="10" customWidth="1"/>
    <col min="1537" max="1537" width="5.140625" customWidth="1"/>
    <col min="1538" max="1538" width="8.140625" customWidth="1"/>
    <col min="1540" max="1540" width="26.140625" customWidth="1"/>
    <col min="1541" max="1541" width="12.42578125" customWidth="1"/>
    <col min="1542" max="1542" width="11.140625" customWidth="1"/>
    <col min="1543" max="1543" width="10" customWidth="1"/>
    <col min="1793" max="1793" width="5.140625" customWidth="1"/>
    <col min="1794" max="1794" width="8.140625" customWidth="1"/>
    <col min="1796" max="1796" width="26.140625" customWidth="1"/>
    <col min="1797" max="1797" width="12.42578125" customWidth="1"/>
    <col min="1798" max="1798" width="11.140625" customWidth="1"/>
    <col min="1799" max="1799" width="10" customWidth="1"/>
    <col min="2049" max="2049" width="5.140625" customWidth="1"/>
    <col min="2050" max="2050" width="8.140625" customWidth="1"/>
    <col min="2052" max="2052" width="26.140625" customWidth="1"/>
    <col min="2053" max="2053" width="12.42578125" customWidth="1"/>
    <col min="2054" max="2054" width="11.140625" customWidth="1"/>
    <col min="2055" max="2055" width="10" customWidth="1"/>
    <col min="2305" max="2305" width="5.140625" customWidth="1"/>
    <col min="2306" max="2306" width="8.140625" customWidth="1"/>
    <col min="2308" max="2308" width="26.140625" customWidth="1"/>
    <col min="2309" max="2309" width="12.42578125" customWidth="1"/>
    <col min="2310" max="2310" width="11.140625" customWidth="1"/>
    <col min="2311" max="2311" width="10" customWidth="1"/>
    <col min="2561" max="2561" width="5.140625" customWidth="1"/>
    <col min="2562" max="2562" width="8.140625" customWidth="1"/>
    <col min="2564" max="2564" width="26.140625" customWidth="1"/>
    <col min="2565" max="2565" width="12.42578125" customWidth="1"/>
    <col min="2566" max="2566" width="11.140625" customWidth="1"/>
    <col min="2567" max="2567" width="10" customWidth="1"/>
    <col min="2817" max="2817" width="5.140625" customWidth="1"/>
    <col min="2818" max="2818" width="8.140625" customWidth="1"/>
    <col min="2820" max="2820" width="26.140625" customWidth="1"/>
    <col min="2821" max="2821" width="12.42578125" customWidth="1"/>
    <col min="2822" max="2822" width="11.140625" customWidth="1"/>
    <col min="2823" max="2823" width="10" customWidth="1"/>
    <col min="3073" max="3073" width="5.140625" customWidth="1"/>
    <col min="3074" max="3074" width="8.140625" customWidth="1"/>
    <col min="3076" max="3076" width="26.140625" customWidth="1"/>
    <col min="3077" max="3077" width="12.42578125" customWidth="1"/>
    <col min="3078" max="3078" width="11.140625" customWidth="1"/>
    <col min="3079" max="3079" width="10" customWidth="1"/>
    <col min="3329" max="3329" width="5.140625" customWidth="1"/>
    <col min="3330" max="3330" width="8.140625" customWidth="1"/>
    <col min="3332" max="3332" width="26.140625" customWidth="1"/>
    <col min="3333" max="3333" width="12.42578125" customWidth="1"/>
    <col min="3334" max="3334" width="11.140625" customWidth="1"/>
    <col min="3335" max="3335" width="10" customWidth="1"/>
    <col min="3585" max="3585" width="5.140625" customWidth="1"/>
    <col min="3586" max="3586" width="8.140625" customWidth="1"/>
    <col min="3588" max="3588" width="26.140625" customWidth="1"/>
    <col min="3589" max="3589" width="12.42578125" customWidth="1"/>
    <col min="3590" max="3590" width="11.140625" customWidth="1"/>
    <col min="3591" max="3591" width="10" customWidth="1"/>
    <col min="3841" max="3841" width="5.140625" customWidth="1"/>
    <col min="3842" max="3842" width="8.140625" customWidth="1"/>
    <col min="3844" max="3844" width="26.140625" customWidth="1"/>
    <col min="3845" max="3845" width="12.42578125" customWidth="1"/>
    <col min="3846" max="3846" width="11.140625" customWidth="1"/>
    <col min="3847" max="3847" width="10" customWidth="1"/>
    <col min="4097" max="4097" width="5.140625" customWidth="1"/>
    <col min="4098" max="4098" width="8.140625" customWidth="1"/>
    <col min="4100" max="4100" width="26.140625" customWidth="1"/>
    <col min="4101" max="4101" width="12.42578125" customWidth="1"/>
    <col min="4102" max="4102" width="11.140625" customWidth="1"/>
    <col min="4103" max="4103" width="10" customWidth="1"/>
    <col min="4353" max="4353" width="5.140625" customWidth="1"/>
    <col min="4354" max="4354" width="8.140625" customWidth="1"/>
    <col min="4356" max="4356" width="26.140625" customWidth="1"/>
    <col min="4357" max="4357" width="12.42578125" customWidth="1"/>
    <col min="4358" max="4358" width="11.140625" customWidth="1"/>
    <col min="4359" max="4359" width="10" customWidth="1"/>
    <col min="4609" max="4609" width="5.140625" customWidth="1"/>
    <col min="4610" max="4610" width="8.140625" customWidth="1"/>
    <col min="4612" max="4612" width="26.140625" customWidth="1"/>
    <col min="4613" max="4613" width="12.42578125" customWidth="1"/>
    <col min="4614" max="4614" width="11.140625" customWidth="1"/>
    <col min="4615" max="4615" width="10" customWidth="1"/>
    <col min="4865" max="4865" width="5.140625" customWidth="1"/>
    <col min="4866" max="4866" width="8.140625" customWidth="1"/>
    <col min="4868" max="4868" width="26.140625" customWidth="1"/>
    <col min="4869" max="4869" width="12.42578125" customWidth="1"/>
    <col min="4870" max="4870" width="11.140625" customWidth="1"/>
    <col min="4871" max="4871" width="10" customWidth="1"/>
    <col min="5121" max="5121" width="5.140625" customWidth="1"/>
    <col min="5122" max="5122" width="8.140625" customWidth="1"/>
    <col min="5124" max="5124" width="26.140625" customWidth="1"/>
    <col min="5125" max="5125" width="12.42578125" customWidth="1"/>
    <col min="5126" max="5126" width="11.140625" customWidth="1"/>
    <col min="5127" max="5127" width="10" customWidth="1"/>
    <col min="5377" max="5377" width="5.140625" customWidth="1"/>
    <col min="5378" max="5378" width="8.140625" customWidth="1"/>
    <col min="5380" max="5380" width="26.140625" customWidth="1"/>
    <col min="5381" max="5381" width="12.42578125" customWidth="1"/>
    <col min="5382" max="5382" width="11.140625" customWidth="1"/>
    <col min="5383" max="5383" width="10" customWidth="1"/>
    <col min="5633" max="5633" width="5.140625" customWidth="1"/>
    <col min="5634" max="5634" width="8.140625" customWidth="1"/>
    <col min="5636" max="5636" width="26.140625" customWidth="1"/>
    <col min="5637" max="5637" width="12.42578125" customWidth="1"/>
    <col min="5638" max="5638" width="11.140625" customWidth="1"/>
    <col min="5639" max="5639" width="10" customWidth="1"/>
    <col min="5889" max="5889" width="5.140625" customWidth="1"/>
    <col min="5890" max="5890" width="8.140625" customWidth="1"/>
    <col min="5892" max="5892" width="26.140625" customWidth="1"/>
    <col min="5893" max="5893" width="12.42578125" customWidth="1"/>
    <col min="5894" max="5894" width="11.140625" customWidth="1"/>
    <col min="5895" max="5895" width="10" customWidth="1"/>
    <col min="6145" max="6145" width="5.140625" customWidth="1"/>
    <col min="6146" max="6146" width="8.140625" customWidth="1"/>
    <col min="6148" max="6148" width="26.140625" customWidth="1"/>
    <col min="6149" max="6149" width="12.42578125" customWidth="1"/>
    <col min="6150" max="6150" width="11.140625" customWidth="1"/>
    <col min="6151" max="6151" width="10" customWidth="1"/>
    <col min="6401" max="6401" width="5.140625" customWidth="1"/>
    <col min="6402" max="6402" width="8.140625" customWidth="1"/>
    <col min="6404" max="6404" width="26.140625" customWidth="1"/>
    <col min="6405" max="6405" width="12.42578125" customWidth="1"/>
    <col min="6406" max="6406" width="11.140625" customWidth="1"/>
    <col min="6407" max="6407" width="10" customWidth="1"/>
    <col min="6657" max="6657" width="5.140625" customWidth="1"/>
    <col min="6658" max="6658" width="8.140625" customWidth="1"/>
    <col min="6660" max="6660" width="26.140625" customWidth="1"/>
    <col min="6661" max="6661" width="12.42578125" customWidth="1"/>
    <col min="6662" max="6662" width="11.140625" customWidth="1"/>
    <col min="6663" max="6663" width="10" customWidth="1"/>
    <col min="6913" max="6913" width="5.140625" customWidth="1"/>
    <col min="6914" max="6914" width="8.140625" customWidth="1"/>
    <col min="6916" max="6916" width="26.140625" customWidth="1"/>
    <col min="6917" max="6917" width="12.42578125" customWidth="1"/>
    <col min="6918" max="6918" width="11.140625" customWidth="1"/>
    <col min="6919" max="6919" width="10" customWidth="1"/>
    <col min="7169" max="7169" width="5.140625" customWidth="1"/>
    <col min="7170" max="7170" width="8.140625" customWidth="1"/>
    <col min="7172" max="7172" width="26.140625" customWidth="1"/>
    <col min="7173" max="7173" width="12.42578125" customWidth="1"/>
    <col min="7174" max="7174" width="11.140625" customWidth="1"/>
    <col min="7175" max="7175" width="10" customWidth="1"/>
    <col min="7425" max="7425" width="5.140625" customWidth="1"/>
    <col min="7426" max="7426" width="8.140625" customWidth="1"/>
    <col min="7428" max="7428" width="26.140625" customWidth="1"/>
    <col min="7429" max="7429" width="12.42578125" customWidth="1"/>
    <col min="7430" max="7430" width="11.140625" customWidth="1"/>
    <col min="7431" max="7431" width="10" customWidth="1"/>
    <col min="7681" max="7681" width="5.140625" customWidth="1"/>
    <col min="7682" max="7682" width="8.140625" customWidth="1"/>
    <col min="7684" max="7684" width="26.140625" customWidth="1"/>
    <col min="7685" max="7685" width="12.42578125" customWidth="1"/>
    <col min="7686" max="7686" width="11.140625" customWidth="1"/>
    <col min="7687" max="7687" width="10" customWidth="1"/>
    <col min="7937" max="7937" width="5.140625" customWidth="1"/>
    <col min="7938" max="7938" width="8.140625" customWidth="1"/>
    <col min="7940" max="7940" width="26.140625" customWidth="1"/>
    <col min="7941" max="7941" width="12.42578125" customWidth="1"/>
    <col min="7942" max="7942" width="11.140625" customWidth="1"/>
    <col min="7943" max="7943" width="10" customWidth="1"/>
    <col min="8193" max="8193" width="5.140625" customWidth="1"/>
    <col min="8194" max="8194" width="8.140625" customWidth="1"/>
    <col min="8196" max="8196" width="26.140625" customWidth="1"/>
    <col min="8197" max="8197" width="12.42578125" customWidth="1"/>
    <col min="8198" max="8198" width="11.140625" customWidth="1"/>
    <col min="8199" max="8199" width="10" customWidth="1"/>
    <col min="8449" max="8449" width="5.140625" customWidth="1"/>
    <col min="8450" max="8450" width="8.140625" customWidth="1"/>
    <col min="8452" max="8452" width="26.140625" customWidth="1"/>
    <col min="8453" max="8453" width="12.42578125" customWidth="1"/>
    <col min="8454" max="8454" width="11.140625" customWidth="1"/>
    <col min="8455" max="8455" width="10" customWidth="1"/>
    <col min="8705" max="8705" width="5.140625" customWidth="1"/>
    <col min="8706" max="8706" width="8.140625" customWidth="1"/>
    <col min="8708" max="8708" width="26.140625" customWidth="1"/>
    <col min="8709" max="8709" width="12.42578125" customWidth="1"/>
    <col min="8710" max="8710" width="11.140625" customWidth="1"/>
    <col min="8711" max="8711" width="10" customWidth="1"/>
    <col min="8961" max="8961" width="5.140625" customWidth="1"/>
    <col min="8962" max="8962" width="8.140625" customWidth="1"/>
    <col min="8964" max="8964" width="26.140625" customWidth="1"/>
    <col min="8965" max="8965" width="12.42578125" customWidth="1"/>
    <col min="8966" max="8966" width="11.140625" customWidth="1"/>
    <col min="8967" max="8967" width="10" customWidth="1"/>
    <col min="9217" max="9217" width="5.140625" customWidth="1"/>
    <col min="9218" max="9218" width="8.140625" customWidth="1"/>
    <col min="9220" max="9220" width="26.140625" customWidth="1"/>
    <col min="9221" max="9221" width="12.42578125" customWidth="1"/>
    <col min="9222" max="9222" width="11.140625" customWidth="1"/>
    <col min="9223" max="9223" width="10" customWidth="1"/>
    <col min="9473" max="9473" width="5.140625" customWidth="1"/>
    <col min="9474" max="9474" width="8.140625" customWidth="1"/>
    <col min="9476" max="9476" width="26.140625" customWidth="1"/>
    <col min="9477" max="9477" width="12.42578125" customWidth="1"/>
    <col min="9478" max="9478" width="11.140625" customWidth="1"/>
    <col min="9479" max="9479" width="10" customWidth="1"/>
    <col min="9729" max="9729" width="5.140625" customWidth="1"/>
    <col min="9730" max="9730" width="8.140625" customWidth="1"/>
    <col min="9732" max="9732" width="26.140625" customWidth="1"/>
    <col min="9733" max="9733" width="12.42578125" customWidth="1"/>
    <col min="9734" max="9734" width="11.140625" customWidth="1"/>
    <col min="9735" max="9735" width="10" customWidth="1"/>
    <col min="9985" max="9985" width="5.140625" customWidth="1"/>
    <col min="9986" max="9986" width="8.140625" customWidth="1"/>
    <col min="9988" max="9988" width="26.140625" customWidth="1"/>
    <col min="9989" max="9989" width="12.42578125" customWidth="1"/>
    <col min="9990" max="9990" width="11.140625" customWidth="1"/>
    <col min="9991" max="9991" width="10" customWidth="1"/>
    <col min="10241" max="10241" width="5.140625" customWidth="1"/>
    <col min="10242" max="10242" width="8.140625" customWidth="1"/>
    <col min="10244" max="10244" width="26.140625" customWidth="1"/>
    <col min="10245" max="10245" width="12.42578125" customWidth="1"/>
    <col min="10246" max="10246" width="11.140625" customWidth="1"/>
    <col min="10247" max="10247" width="10" customWidth="1"/>
    <col min="10497" max="10497" width="5.140625" customWidth="1"/>
    <col min="10498" max="10498" width="8.140625" customWidth="1"/>
    <col min="10500" max="10500" width="26.140625" customWidth="1"/>
    <col min="10501" max="10501" width="12.42578125" customWidth="1"/>
    <col min="10502" max="10502" width="11.140625" customWidth="1"/>
    <col min="10503" max="10503" width="10" customWidth="1"/>
    <col min="10753" max="10753" width="5.140625" customWidth="1"/>
    <col min="10754" max="10754" width="8.140625" customWidth="1"/>
    <col min="10756" max="10756" width="26.140625" customWidth="1"/>
    <col min="10757" max="10757" width="12.42578125" customWidth="1"/>
    <col min="10758" max="10758" width="11.140625" customWidth="1"/>
    <col min="10759" max="10759" width="10" customWidth="1"/>
    <col min="11009" max="11009" width="5.140625" customWidth="1"/>
    <col min="11010" max="11010" width="8.140625" customWidth="1"/>
    <col min="11012" max="11012" width="26.140625" customWidth="1"/>
    <col min="11013" max="11013" width="12.42578125" customWidth="1"/>
    <col min="11014" max="11014" width="11.140625" customWidth="1"/>
    <col min="11015" max="11015" width="10" customWidth="1"/>
    <col min="11265" max="11265" width="5.140625" customWidth="1"/>
    <col min="11266" max="11266" width="8.140625" customWidth="1"/>
    <col min="11268" max="11268" width="26.140625" customWidth="1"/>
    <col min="11269" max="11269" width="12.42578125" customWidth="1"/>
    <col min="11270" max="11270" width="11.140625" customWidth="1"/>
    <col min="11271" max="11271" width="10" customWidth="1"/>
    <col min="11521" max="11521" width="5.140625" customWidth="1"/>
    <col min="11522" max="11522" width="8.140625" customWidth="1"/>
    <col min="11524" max="11524" width="26.140625" customWidth="1"/>
    <col min="11525" max="11525" width="12.42578125" customWidth="1"/>
    <col min="11526" max="11526" width="11.140625" customWidth="1"/>
    <col min="11527" max="11527" width="10" customWidth="1"/>
    <col min="11777" max="11777" width="5.140625" customWidth="1"/>
    <col min="11778" max="11778" width="8.140625" customWidth="1"/>
    <col min="11780" max="11780" width="26.140625" customWidth="1"/>
    <col min="11781" max="11781" width="12.42578125" customWidth="1"/>
    <col min="11782" max="11782" width="11.140625" customWidth="1"/>
    <col min="11783" max="11783" width="10" customWidth="1"/>
    <col min="12033" max="12033" width="5.140625" customWidth="1"/>
    <col min="12034" max="12034" width="8.140625" customWidth="1"/>
    <col min="12036" max="12036" width="26.140625" customWidth="1"/>
    <col min="12037" max="12037" width="12.42578125" customWidth="1"/>
    <col min="12038" max="12038" width="11.140625" customWidth="1"/>
    <col min="12039" max="12039" width="10" customWidth="1"/>
    <col min="12289" max="12289" width="5.140625" customWidth="1"/>
    <col min="12290" max="12290" width="8.140625" customWidth="1"/>
    <col min="12292" max="12292" width="26.140625" customWidth="1"/>
    <col min="12293" max="12293" width="12.42578125" customWidth="1"/>
    <col min="12294" max="12294" width="11.140625" customWidth="1"/>
    <col min="12295" max="12295" width="10" customWidth="1"/>
    <col min="12545" max="12545" width="5.140625" customWidth="1"/>
    <col min="12546" max="12546" width="8.140625" customWidth="1"/>
    <col min="12548" max="12548" width="26.140625" customWidth="1"/>
    <col min="12549" max="12549" width="12.42578125" customWidth="1"/>
    <col min="12550" max="12550" width="11.140625" customWidth="1"/>
    <col min="12551" max="12551" width="10" customWidth="1"/>
    <col min="12801" max="12801" width="5.140625" customWidth="1"/>
    <col min="12802" max="12802" width="8.140625" customWidth="1"/>
    <col min="12804" max="12804" width="26.140625" customWidth="1"/>
    <col min="12805" max="12805" width="12.42578125" customWidth="1"/>
    <col min="12806" max="12806" width="11.140625" customWidth="1"/>
    <col min="12807" max="12807" width="10" customWidth="1"/>
    <col min="13057" max="13057" width="5.140625" customWidth="1"/>
    <col min="13058" max="13058" width="8.140625" customWidth="1"/>
    <col min="13060" max="13060" width="26.140625" customWidth="1"/>
    <col min="13061" max="13061" width="12.42578125" customWidth="1"/>
    <col min="13062" max="13062" width="11.140625" customWidth="1"/>
    <col min="13063" max="13063" width="10" customWidth="1"/>
    <col min="13313" max="13313" width="5.140625" customWidth="1"/>
    <col min="13314" max="13314" width="8.140625" customWidth="1"/>
    <col min="13316" max="13316" width="26.140625" customWidth="1"/>
    <col min="13317" max="13317" width="12.42578125" customWidth="1"/>
    <col min="13318" max="13318" width="11.140625" customWidth="1"/>
    <col min="13319" max="13319" width="10" customWidth="1"/>
    <col min="13569" max="13569" width="5.140625" customWidth="1"/>
    <col min="13570" max="13570" width="8.140625" customWidth="1"/>
    <col min="13572" max="13572" width="26.140625" customWidth="1"/>
    <col min="13573" max="13573" width="12.42578125" customWidth="1"/>
    <col min="13574" max="13574" width="11.140625" customWidth="1"/>
    <col min="13575" max="13575" width="10" customWidth="1"/>
    <col min="13825" max="13825" width="5.140625" customWidth="1"/>
    <col min="13826" max="13826" width="8.140625" customWidth="1"/>
    <col min="13828" max="13828" width="26.140625" customWidth="1"/>
    <col min="13829" max="13829" width="12.42578125" customWidth="1"/>
    <col min="13830" max="13830" width="11.140625" customWidth="1"/>
    <col min="13831" max="13831" width="10" customWidth="1"/>
    <col min="14081" max="14081" width="5.140625" customWidth="1"/>
    <col min="14082" max="14082" width="8.140625" customWidth="1"/>
    <col min="14084" max="14084" width="26.140625" customWidth="1"/>
    <col min="14085" max="14085" width="12.42578125" customWidth="1"/>
    <col min="14086" max="14086" width="11.140625" customWidth="1"/>
    <col min="14087" max="14087" width="10" customWidth="1"/>
    <col min="14337" max="14337" width="5.140625" customWidth="1"/>
    <col min="14338" max="14338" width="8.140625" customWidth="1"/>
    <col min="14340" max="14340" width="26.140625" customWidth="1"/>
    <col min="14341" max="14341" width="12.42578125" customWidth="1"/>
    <col min="14342" max="14342" width="11.140625" customWidth="1"/>
    <col min="14343" max="14343" width="10" customWidth="1"/>
    <col min="14593" max="14593" width="5.140625" customWidth="1"/>
    <col min="14594" max="14594" width="8.140625" customWidth="1"/>
    <col min="14596" max="14596" width="26.140625" customWidth="1"/>
    <col min="14597" max="14597" width="12.42578125" customWidth="1"/>
    <col min="14598" max="14598" width="11.140625" customWidth="1"/>
    <col min="14599" max="14599" width="10" customWidth="1"/>
    <col min="14849" max="14849" width="5.140625" customWidth="1"/>
    <col min="14850" max="14850" width="8.140625" customWidth="1"/>
    <col min="14852" max="14852" width="26.140625" customWidth="1"/>
    <col min="14853" max="14853" width="12.42578125" customWidth="1"/>
    <col min="14854" max="14854" width="11.140625" customWidth="1"/>
    <col min="14855" max="14855" width="10" customWidth="1"/>
    <col min="15105" max="15105" width="5.140625" customWidth="1"/>
    <col min="15106" max="15106" width="8.140625" customWidth="1"/>
    <col min="15108" max="15108" width="26.140625" customWidth="1"/>
    <col min="15109" max="15109" width="12.42578125" customWidth="1"/>
    <col min="15110" max="15110" width="11.140625" customWidth="1"/>
    <col min="15111" max="15111" width="10" customWidth="1"/>
    <col min="15361" max="15361" width="5.140625" customWidth="1"/>
    <col min="15362" max="15362" width="8.140625" customWidth="1"/>
    <col min="15364" max="15364" width="26.140625" customWidth="1"/>
    <col min="15365" max="15365" width="12.42578125" customWidth="1"/>
    <col min="15366" max="15366" width="11.140625" customWidth="1"/>
    <col min="15367" max="15367" width="10" customWidth="1"/>
    <col min="15617" max="15617" width="5.140625" customWidth="1"/>
    <col min="15618" max="15618" width="8.140625" customWidth="1"/>
    <col min="15620" max="15620" width="26.140625" customWidth="1"/>
    <col min="15621" max="15621" width="12.42578125" customWidth="1"/>
    <col min="15622" max="15622" width="11.140625" customWidth="1"/>
    <col min="15623" max="15623" width="10" customWidth="1"/>
    <col min="15873" max="15873" width="5.140625" customWidth="1"/>
    <col min="15874" max="15874" width="8.140625" customWidth="1"/>
    <col min="15876" max="15876" width="26.140625" customWidth="1"/>
    <col min="15877" max="15877" width="12.42578125" customWidth="1"/>
    <col min="15878" max="15878" width="11.140625" customWidth="1"/>
    <col min="15879" max="15879" width="10" customWidth="1"/>
    <col min="16129" max="16129" width="5.140625" customWidth="1"/>
    <col min="16130" max="16130" width="8.140625" customWidth="1"/>
    <col min="16132" max="16132" width="26.140625" customWidth="1"/>
    <col min="16133" max="16133" width="12.42578125" customWidth="1"/>
    <col min="16134" max="16134" width="11.140625" customWidth="1"/>
    <col min="16135" max="16135" width="10" customWidth="1"/>
  </cols>
  <sheetData>
    <row r="1" spans="1:10" x14ac:dyDescent="0.25">
      <c r="A1" s="275"/>
      <c r="B1" s="275"/>
      <c r="C1" s="275"/>
      <c r="D1" s="275"/>
      <c r="E1" s="275"/>
      <c r="F1" s="283"/>
      <c r="G1" s="124" t="s">
        <v>380</v>
      </c>
      <c r="H1" s="275"/>
      <c r="I1" s="275"/>
      <c r="J1" s="275"/>
    </row>
    <row r="2" spans="1:10" hidden="1" x14ac:dyDescent="0.25">
      <c r="A2" s="275"/>
      <c r="B2" s="275"/>
      <c r="C2" s="275"/>
      <c r="D2" s="275"/>
      <c r="E2" s="275"/>
      <c r="F2" s="283"/>
      <c r="G2" s="284"/>
      <c r="H2" s="275"/>
      <c r="I2" s="275"/>
      <c r="J2" s="275"/>
    </row>
    <row r="3" spans="1:10" hidden="1" x14ac:dyDescent="0.25">
      <c r="A3" s="270"/>
      <c r="B3" s="270"/>
      <c r="C3" s="270"/>
      <c r="D3" s="125"/>
      <c r="E3" s="125"/>
      <c r="F3" s="126"/>
      <c r="G3" s="127"/>
      <c r="H3" s="125"/>
      <c r="I3" s="66"/>
      <c r="J3" s="275"/>
    </row>
    <row r="4" spans="1:10" hidden="1" x14ac:dyDescent="0.25">
      <c r="A4" s="270"/>
      <c r="B4" s="270"/>
      <c r="C4" s="270"/>
      <c r="D4" s="66"/>
      <c r="E4" s="66"/>
      <c r="F4" s="128"/>
      <c r="G4" s="127"/>
      <c r="H4" s="66"/>
      <c r="I4" s="66"/>
      <c r="J4" s="275"/>
    </row>
    <row r="5" spans="1:10" ht="15.75" hidden="1" x14ac:dyDescent="0.25">
      <c r="A5" s="531"/>
      <c r="B5" s="531"/>
      <c r="C5" s="531"/>
      <c r="D5" s="531"/>
      <c r="E5" s="531"/>
      <c r="F5" s="531"/>
      <c r="G5" s="531"/>
      <c r="H5" s="531"/>
      <c r="I5" s="531"/>
      <c r="J5" s="531"/>
    </row>
    <row r="6" spans="1:10" hidden="1" x14ac:dyDescent="0.25">
      <c r="A6" s="275"/>
      <c r="B6" s="275"/>
      <c r="C6" s="275"/>
      <c r="D6" s="275"/>
      <c r="E6" s="275"/>
      <c r="F6" s="283"/>
      <c r="G6" s="284"/>
      <c r="H6" s="273"/>
      <c r="I6" s="273"/>
      <c r="J6" s="129"/>
    </row>
    <row r="7" spans="1:10" hidden="1" x14ac:dyDescent="0.25">
      <c r="A7" s="275"/>
      <c r="B7" s="275"/>
      <c r="C7" s="275"/>
      <c r="D7" s="275"/>
      <c r="E7" s="275"/>
      <c r="F7" s="283"/>
      <c r="G7" s="284"/>
      <c r="H7" s="532"/>
      <c r="I7" s="532"/>
      <c r="J7" s="269"/>
    </row>
    <row r="8" spans="1:10" ht="15.75" x14ac:dyDescent="0.25">
      <c r="A8" s="509" t="s">
        <v>267</v>
      </c>
      <c r="B8" s="509"/>
      <c r="C8" s="509"/>
      <c r="D8" s="509"/>
      <c r="E8" s="509"/>
      <c r="F8" s="509"/>
      <c r="G8" s="509"/>
      <c r="H8" s="268"/>
      <c r="I8" s="268"/>
      <c r="J8" s="269"/>
    </row>
    <row r="9" spans="1:10" ht="15.75" x14ac:dyDescent="0.25">
      <c r="A9" s="265"/>
      <c r="B9" s="265"/>
      <c r="C9" s="265"/>
      <c r="D9" s="265"/>
      <c r="E9" s="265"/>
      <c r="F9" s="265"/>
      <c r="G9" s="265"/>
      <c r="H9" s="268"/>
      <c r="I9" s="268"/>
      <c r="J9" s="269"/>
    </row>
    <row r="10" spans="1:10" ht="15.75" x14ac:dyDescent="0.25">
      <c r="A10" s="265"/>
      <c r="B10" s="265"/>
      <c r="C10" s="265"/>
      <c r="D10" s="265"/>
      <c r="E10" s="265"/>
      <c r="F10" s="265"/>
      <c r="G10" s="124"/>
      <c r="H10" s="268"/>
      <c r="I10" s="268"/>
      <c r="J10" s="269"/>
    </row>
    <row r="11" spans="1:10" x14ac:dyDescent="0.25">
      <c r="A11" s="275"/>
      <c r="B11" s="275"/>
      <c r="C11" s="275"/>
      <c r="D11" s="270"/>
      <c r="E11" s="270"/>
      <c r="F11" s="272"/>
      <c r="G11" s="130"/>
      <c r="H11" s="131"/>
      <c r="I11" s="131"/>
      <c r="J11" s="132"/>
    </row>
    <row r="12" spans="1:10" x14ac:dyDescent="0.25">
      <c r="A12" s="510" t="s">
        <v>216</v>
      </c>
      <c r="B12" s="510" t="s">
        <v>2</v>
      </c>
      <c r="C12" s="510" t="s">
        <v>68</v>
      </c>
      <c r="D12" s="533" t="s">
        <v>268</v>
      </c>
      <c r="E12" s="534"/>
      <c r="F12" s="537" t="s">
        <v>269</v>
      </c>
      <c r="G12" s="540"/>
      <c r="H12" s="133"/>
      <c r="I12" s="133"/>
      <c r="J12" s="134"/>
    </row>
    <row r="13" spans="1:10" x14ac:dyDescent="0.25">
      <c r="A13" s="510"/>
      <c r="B13" s="510"/>
      <c r="C13" s="510"/>
      <c r="D13" s="533"/>
      <c r="E13" s="535"/>
      <c r="F13" s="538"/>
      <c r="G13" s="541"/>
      <c r="H13" s="273"/>
      <c r="I13" s="273"/>
      <c r="J13" s="274"/>
    </row>
    <row r="14" spans="1:10" x14ac:dyDescent="0.25">
      <c r="A14" s="510"/>
      <c r="B14" s="510"/>
      <c r="C14" s="510"/>
      <c r="D14" s="533"/>
      <c r="E14" s="536"/>
      <c r="F14" s="539"/>
      <c r="G14" s="542"/>
      <c r="H14" s="133"/>
      <c r="I14" s="133"/>
      <c r="J14" s="134"/>
    </row>
    <row r="15" spans="1:10" s="103" customFormat="1" ht="12.75" x14ac:dyDescent="0.2">
      <c r="A15" s="291"/>
      <c r="B15" s="291"/>
      <c r="C15" s="291"/>
      <c r="D15" s="291"/>
      <c r="E15" s="288" t="s">
        <v>5</v>
      </c>
      <c r="F15" s="289" t="s">
        <v>6</v>
      </c>
      <c r="G15" s="290" t="s">
        <v>70</v>
      </c>
      <c r="H15" s="137"/>
      <c r="I15" s="137"/>
      <c r="J15" s="292"/>
    </row>
    <row r="16" spans="1:10" ht="39" x14ac:dyDescent="0.25">
      <c r="A16" s="291">
        <v>1</v>
      </c>
      <c r="B16" s="291">
        <v>801</v>
      </c>
      <c r="C16" s="291">
        <v>80104</v>
      </c>
      <c r="D16" s="298" t="s">
        <v>270</v>
      </c>
      <c r="E16" s="310">
        <v>941774</v>
      </c>
      <c r="F16" s="311">
        <v>894541.76</v>
      </c>
      <c r="G16" s="300">
        <f>F16/E16*100</f>
        <v>94.984758551414672</v>
      </c>
      <c r="H16" s="133"/>
      <c r="I16" s="133"/>
      <c r="J16" s="134"/>
    </row>
    <row r="17" spans="1:10" ht="39" x14ac:dyDescent="0.25">
      <c r="A17" s="291">
        <v>2</v>
      </c>
      <c r="B17" s="291">
        <v>801</v>
      </c>
      <c r="C17" s="291">
        <v>80149</v>
      </c>
      <c r="D17" s="298" t="s">
        <v>270</v>
      </c>
      <c r="E17" s="310">
        <v>68352</v>
      </c>
      <c r="F17" s="311">
        <v>47020.160000000003</v>
      </c>
      <c r="G17" s="300">
        <f>F17/E17*100</f>
        <v>68.791198501872657</v>
      </c>
      <c r="H17" s="133"/>
      <c r="I17" s="133"/>
      <c r="J17" s="134"/>
    </row>
    <row r="18" spans="1:10" ht="26.25" x14ac:dyDescent="0.25">
      <c r="A18" s="291">
        <v>3</v>
      </c>
      <c r="B18" s="291">
        <v>921</v>
      </c>
      <c r="C18" s="291">
        <v>92116</v>
      </c>
      <c r="D18" s="298" t="s">
        <v>271</v>
      </c>
      <c r="E18" s="310">
        <v>380584</v>
      </c>
      <c r="F18" s="299">
        <v>355125.93</v>
      </c>
      <c r="G18" s="300">
        <f>F18/E18*100</f>
        <v>93.310788157147968</v>
      </c>
      <c r="H18" s="273"/>
      <c r="I18" s="273"/>
      <c r="J18" s="306"/>
    </row>
    <row r="19" spans="1:10" ht="39" hidden="1" x14ac:dyDescent="0.25">
      <c r="A19" s="301">
        <v>3</v>
      </c>
      <c r="B19" s="301">
        <v>851</v>
      </c>
      <c r="C19" s="301">
        <v>85195</v>
      </c>
      <c r="D19" s="298" t="s">
        <v>311</v>
      </c>
      <c r="E19" s="312">
        <v>0</v>
      </c>
      <c r="F19" s="302">
        <v>0</v>
      </c>
      <c r="G19" s="303" t="e">
        <f>F19/E19*100</f>
        <v>#DIV/0!</v>
      </c>
      <c r="H19" s="273"/>
      <c r="I19" s="273"/>
      <c r="J19" s="306"/>
    </row>
    <row r="20" spans="1:10" x14ac:dyDescent="0.25">
      <c r="A20" s="528" t="s">
        <v>4</v>
      </c>
      <c r="B20" s="529"/>
      <c r="C20" s="529"/>
      <c r="D20" s="530"/>
      <c r="E20" s="313">
        <f>E16+E18+E19+E17</f>
        <v>1390710</v>
      </c>
      <c r="F20" s="308">
        <f>F18+F16+F19+F17</f>
        <v>1296687.8499999999</v>
      </c>
      <c r="G20" s="309">
        <f>F20/E20*100</f>
        <v>93.239269869347297</v>
      </c>
      <c r="H20" s="273"/>
      <c r="I20" s="273"/>
      <c r="J20" s="306"/>
    </row>
  </sheetData>
  <mergeCells count="11">
    <mergeCell ref="A20:D20"/>
    <mergeCell ref="A5:J5"/>
    <mergeCell ref="H7:I7"/>
    <mergeCell ref="A8:G8"/>
    <mergeCell ref="A12:A14"/>
    <mergeCell ref="B12:B14"/>
    <mergeCell ref="C12:C14"/>
    <mergeCell ref="D12:D14"/>
    <mergeCell ref="E12:E14"/>
    <mergeCell ref="F12:F14"/>
    <mergeCell ref="G12:G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2" zoomScaleNormal="100" workbookViewId="0">
      <selection activeCell="K25" sqref="K25"/>
    </sheetView>
  </sheetViews>
  <sheetFormatPr defaultRowHeight="15" x14ac:dyDescent="0.25"/>
  <cols>
    <col min="1" max="1" width="5.140625" customWidth="1"/>
    <col min="2" max="2" width="6.5703125" customWidth="1"/>
    <col min="3" max="3" width="8.5703125" customWidth="1"/>
    <col min="4" max="4" width="41.5703125" customWidth="1"/>
    <col min="5" max="5" width="12.42578125" customWidth="1"/>
    <col min="6" max="6" width="12.140625" style="22" customWidth="1"/>
    <col min="7" max="7" width="10" style="24" customWidth="1"/>
    <col min="257" max="257" width="5.140625" customWidth="1"/>
    <col min="258" max="258" width="6.5703125" customWidth="1"/>
    <col min="259" max="259" width="8.5703125" customWidth="1"/>
    <col min="260" max="260" width="32.7109375" customWidth="1"/>
    <col min="261" max="261" width="12.42578125" customWidth="1"/>
    <col min="262" max="262" width="11.140625" customWidth="1"/>
    <col min="263" max="263" width="10" customWidth="1"/>
    <col min="513" max="513" width="5.140625" customWidth="1"/>
    <col min="514" max="514" width="6.5703125" customWidth="1"/>
    <col min="515" max="515" width="8.5703125" customWidth="1"/>
    <col min="516" max="516" width="32.7109375" customWidth="1"/>
    <col min="517" max="517" width="12.42578125" customWidth="1"/>
    <col min="518" max="518" width="11.140625" customWidth="1"/>
    <col min="519" max="519" width="10" customWidth="1"/>
    <col min="769" max="769" width="5.140625" customWidth="1"/>
    <col min="770" max="770" width="6.5703125" customWidth="1"/>
    <col min="771" max="771" width="8.5703125" customWidth="1"/>
    <col min="772" max="772" width="32.7109375" customWidth="1"/>
    <col min="773" max="773" width="12.42578125" customWidth="1"/>
    <col min="774" max="774" width="11.140625" customWidth="1"/>
    <col min="775" max="775" width="10" customWidth="1"/>
    <col min="1025" max="1025" width="5.140625" customWidth="1"/>
    <col min="1026" max="1026" width="6.5703125" customWidth="1"/>
    <col min="1027" max="1027" width="8.5703125" customWidth="1"/>
    <col min="1028" max="1028" width="32.7109375" customWidth="1"/>
    <col min="1029" max="1029" width="12.42578125" customWidth="1"/>
    <col min="1030" max="1030" width="11.140625" customWidth="1"/>
    <col min="1031" max="1031" width="10" customWidth="1"/>
    <col min="1281" max="1281" width="5.140625" customWidth="1"/>
    <col min="1282" max="1282" width="6.5703125" customWidth="1"/>
    <col min="1283" max="1283" width="8.5703125" customWidth="1"/>
    <col min="1284" max="1284" width="32.7109375" customWidth="1"/>
    <col min="1285" max="1285" width="12.42578125" customWidth="1"/>
    <col min="1286" max="1286" width="11.140625" customWidth="1"/>
    <col min="1287" max="1287" width="10" customWidth="1"/>
    <col min="1537" max="1537" width="5.140625" customWidth="1"/>
    <col min="1538" max="1538" width="6.5703125" customWidth="1"/>
    <col min="1539" max="1539" width="8.5703125" customWidth="1"/>
    <col min="1540" max="1540" width="32.7109375" customWidth="1"/>
    <col min="1541" max="1541" width="12.42578125" customWidth="1"/>
    <col min="1542" max="1542" width="11.140625" customWidth="1"/>
    <col min="1543" max="1543" width="10" customWidth="1"/>
    <col min="1793" max="1793" width="5.140625" customWidth="1"/>
    <col min="1794" max="1794" width="6.5703125" customWidth="1"/>
    <col min="1795" max="1795" width="8.5703125" customWidth="1"/>
    <col min="1796" max="1796" width="32.7109375" customWidth="1"/>
    <col min="1797" max="1797" width="12.42578125" customWidth="1"/>
    <col min="1798" max="1798" width="11.140625" customWidth="1"/>
    <col min="1799" max="1799" width="10" customWidth="1"/>
    <col min="2049" max="2049" width="5.140625" customWidth="1"/>
    <col min="2050" max="2050" width="6.5703125" customWidth="1"/>
    <col min="2051" max="2051" width="8.5703125" customWidth="1"/>
    <col min="2052" max="2052" width="32.7109375" customWidth="1"/>
    <col min="2053" max="2053" width="12.42578125" customWidth="1"/>
    <col min="2054" max="2054" width="11.140625" customWidth="1"/>
    <col min="2055" max="2055" width="10" customWidth="1"/>
    <col min="2305" max="2305" width="5.140625" customWidth="1"/>
    <col min="2306" max="2306" width="6.5703125" customWidth="1"/>
    <col min="2307" max="2307" width="8.5703125" customWidth="1"/>
    <col min="2308" max="2308" width="32.7109375" customWidth="1"/>
    <col min="2309" max="2309" width="12.42578125" customWidth="1"/>
    <col min="2310" max="2310" width="11.140625" customWidth="1"/>
    <col min="2311" max="2311" width="10" customWidth="1"/>
    <col min="2561" max="2561" width="5.140625" customWidth="1"/>
    <col min="2562" max="2562" width="6.5703125" customWidth="1"/>
    <col min="2563" max="2563" width="8.5703125" customWidth="1"/>
    <col min="2564" max="2564" width="32.7109375" customWidth="1"/>
    <col min="2565" max="2565" width="12.42578125" customWidth="1"/>
    <col min="2566" max="2566" width="11.140625" customWidth="1"/>
    <col min="2567" max="2567" width="10" customWidth="1"/>
    <col min="2817" max="2817" width="5.140625" customWidth="1"/>
    <col min="2818" max="2818" width="6.5703125" customWidth="1"/>
    <col min="2819" max="2819" width="8.5703125" customWidth="1"/>
    <col min="2820" max="2820" width="32.7109375" customWidth="1"/>
    <col min="2821" max="2821" width="12.42578125" customWidth="1"/>
    <col min="2822" max="2822" width="11.140625" customWidth="1"/>
    <col min="2823" max="2823" width="10" customWidth="1"/>
    <col min="3073" max="3073" width="5.140625" customWidth="1"/>
    <col min="3074" max="3074" width="6.5703125" customWidth="1"/>
    <col min="3075" max="3075" width="8.5703125" customWidth="1"/>
    <col min="3076" max="3076" width="32.7109375" customWidth="1"/>
    <col min="3077" max="3077" width="12.42578125" customWidth="1"/>
    <col min="3078" max="3078" width="11.140625" customWidth="1"/>
    <col min="3079" max="3079" width="10" customWidth="1"/>
    <col min="3329" max="3329" width="5.140625" customWidth="1"/>
    <col min="3330" max="3330" width="6.5703125" customWidth="1"/>
    <col min="3331" max="3331" width="8.5703125" customWidth="1"/>
    <col min="3332" max="3332" width="32.7109375" customWidth="1"/>
    <col min="3333" max="3333" width="12.42578125" customWidth="1"/>
    <col min="3334" max="3334" width="11.140625" customWidth="1"/>
    <col min="3335" max="3335" width="10" customWidth="1"/>
    <col min="3585" max="3585" width="5.140625" customWidth="1"/>
    <col min="3586" max="3586" width="6.5703125" customWidth="1"/>
    <col min="3587" max="3587" width="8.5703125" customWidth="1"/>
    <col min="3588" max="3588" width="32.7109375" customWidth="1"/>
    <col min="3589" max="3589" width="12.42578125" customWidth="1"/>
    <col min="3590" max="3590" width="11.140625" customWidth="1"/>
    <col min="3591" max="3591" width="10" customWidth="1"/>
    <col min="3841" max="3841" width="5.140625" customWidth="1"/>
    <col min="3842" max="3842" width="6.5703125" customWidth="1"/>
    <col min="3843" max="3843" width="8.5703125" customWidth="1"/>
    <col min="3844" max="3844" width="32.7109375" customWidth="1"/>
    <col min="3845" max="3845" width="12.42578125" customWidth="1"/>
    <col min="3846" max="3846" width="11.140625" customWidth="1"/>
    <col min="3847" max="3847" width="10" customWidth="1"/>
    <col min="4097" max="4097" width="5.140625" customWidth="1"/>
    <col min="4098" max="4098" width="6.5703125" customWidth="1"/>
    <col min="4099" max="4099" width="8.5703125" customWidth="1"/>
    <col min="4100" max="4100" width="32.7109375" customWidth="1"/>
    <col min="4101" max="4101" width="12.42578125" customWidth="1"/>
    <col min="4102" max="4102" width="11.140625" customWidth="1"/>
    <col min="4103" max="4103" width="10" customWidth="1"/>
    <col min="4353" max="4353" width="5.140625" customWidth="1"/>
    <col min="4354" max="4354" width="6.5703125" customWidth="1"/>
    <col min="4355" max="4355" width="8.5703125" customWidth="1"/>
    <col min="4356" max="4356" width="32.7109375" customWidth="1"/>
    <col min="4357" max="4357" width="12.42578125" customWidth="1"/>
    <col min="4358" max="4358" width="11.140625" customWidth="1"/>
    <col min="4359" max="4359" width="10" customWidth="1"/>
    <col min="4609" max="4609" width="5.140625" customWidth="1"/>
    <col min="4610" max="4610" width="6.5703125" customWidth="1"/>
    <col min="4611" max="4611" width="8.5703125" customWidth="1"/>
    <col min="4612" max="4612" width="32.7109375" customWidth="1"/>
    <col min="4613" max="4613" width="12.42578125" customWidth="1"/>
    <col min="4614" max="4614" width="11.140625" customWidth="1"/>
    <col min="4615" max="4615" width="10" customWidth="1"/>
    <col min="4865" max="4865" width="5.140625" customWidth="1"/>
    <col min="4866" max="4866" width="6.5703125" customWidth="1"/>
    <col min="4867" max="4867" width="8.5703125" customWidth="1"/>
    <col min="4868" max="4868" width="32.7109375" customWidth="1"/>
    <col min="4869" max="4869" width="12.42578125" customWidth="1"/>
    <col min="4870" max="4870" width="11.140625" customWidth="1"/>
    <col min="4871" max="4871" width="10" customWidth="1"/>
    <col min="5121" max="5121" width="5.140625" customWidth="1"/>
    <col min="5122" max="5122" width="6.5703125" customWidth="1"/>
    <col min="5123" max="5123" width="8.5703125" customWidth="1"/>
    <col min="5124" max="5124" width="32.7109375" customWidth="1"/>
    <col min="5125" max="5125" width="12.42578125" customWidth="1"/>
    <col min="5126" max="5126" width="11.140625" customWidth="1"/>
    <col min="5127" max="5127" width="10" customWidth="1"/>
    <col min="5377" max="5377" width="5.140625" customWidth="1"/>
    <col min="5378" max="5378" width="6.5703125" customWidth="1"/>
    <col min="5379" max="5379" width="8.5703125" customWidth="1"/>
    <col min="5380" max="5380" width="32.7109375" customWidth="1"/>
    <col min="5381" max="5381" width="12.42578125" customWidth="1"/>
    <col min="5382" max="5382" width="11.140625" customWidth="1"/>
    <col min="5383" max="5383" width="10" customWidth="1"/>
    <col min="5633" max="5633" width="5.140625" customWidth="1"/>
    <col min="5634" max="5634" width="6.5703125" customWidth="1"/>
    <col min="5635" max="5635" width="8.5703125" customWidth="1"/>
    <col min="5636" max="5636" width="32.7109375" customWidth="1"/>
    <col min="5637" max="5637" width="12.42578125" customWidth="1"/>
    <col min="5638" max="5638" width="11.140625" customWidth="1"/>
    <col min="5639" max="5639" width="10" customWidth="1"/>
    <col min="5889" max="5889" width="5.140625" customWidth="1"/>
    <col min="5890" max="5890" width="6.5703125" customWidth="1"/>
    <col min="5891" max="5891" width="8.5703125" customWidth="1"/>
    <col min="5892" max="5892" width="32.7109375" customWidth="1"/>
    <col min="5893" max="5893" width="12.42578125" customWidth="1"/>
    <col min="5894" max="5894" width="11.140625" customWidth="1"/>
    <col min="5895" max="5895" width="10" customWidth="1"/>
    <col min="6145" max="6145" width="5.140625" customWidth="1"/>
    <col min="6146" max="6146" width="6.5703125" customWidth="1"/>
    <col min="6147" max="6147" width="8.5703125" customWidth="1"/>
    <col min="6148" max="6148" width="32.7109375" customWidth="1"/>
    <col min="6149" max="6149" width="12.42578125" customWidth="1"/>
    <col min="6150" max="6150" width="11.140625" customWidth="1"/>
    <col min="6151" max="6151" width="10" customWidth="1"/>
    <col min="6401" max="6401" width="5.140625" customWidth="1"/>
    <col min="6402" max="6402" width="6.5703125" customWidth="1"/>
    <col min="6403" max="6403" width="8.5703125" customWidth="1"/>
    <col min="6404" max="6404" width="32.7109375" customWidth="1"/>
    <col min="6405" max="6405" width="12.42578125" customWidth="1"/>
    <col min="6406" max="6406" width="11.140625" customWidth="1"/>
    <col min="6407" max="6407" width="10" customWidth="1"/>
    <col min="6657" max="6657" width="5.140625" customWidth="1"/>
    <col min="6658" max="6658" width="6.5703125" customWidth="1"/>
    <col min="6659" max="6659" width="8.5703125" customWidth="1"/>
    <col min="6660" max="6660" width="32.7109375" customWidth="1"/>
    <col min="6661" max="6661" width="12.42578125" customWidth="1"/>
    <col min="6662" max="6662" width="11.140625" customWidth="1"/>
    <col min="6663" max="6663" width="10" customWidth="1"/>
    <col min="6913" max="6913" width="5.140625" customWidth="1"/>
    <col min="6914" max="6914" width="6.5703125" customWidth="1"/>
    <col min="6915" max="6915" width="8.5703125" customWidth="1"/>
    <col min="6916" max="6916" width="32.7109375" customWidth="1"/>
    <col min="6917" max="6917" width="12.42578125" customWidth="1"/>
    <col min="6918" max="6918" width="11.140625" customWidth="1"/>
    <col min="6919" max="6919" width="10" customWidth="1"/>
    <col min="7169" max="7169" width="5.140625" customWidth="1"/>
    <col min="7170" max="7170" width="6.5703125" customWidth="1"/>
    <col min="7171" max="7171" width="8.5703125" customWidth="1"/>
    <col min="7172" max="7172" width="32.7109375" customWidth="1"/>
    <col min="7173" max="7173" width="12.42578125" customWidth="1"/>
    <col min="7174" max="7174" width="11.140625" customWidth="1"/>
    <col min="7175" max="7175" width="10" customWidth="1"/>
    <col min="7425" max="7425" width="5.140625" customWidth="1"/>
    <col min="7426" max="7426" width="6.5703125" customWidth="1"/>
    <col min="7427" max="7427" width="8.5703125" customWidth="1"/>
    <col min="7428" max="7428" width="32.7109375" customWidth="1"/>
    <col min="7429" max="7429" width="12.42578125" customWidth="1"/>
    <col min="7430" max="7430" width="11.140625" customWidth="1"/>
    <col min="7431" max="7431" width="10" customWidth="1"/>
    <col min="7681" max="7681" width="5.140625" customWidth="1"/>
    <col min="7682" max="7682" width="6.5703125" customWidth="1"/>
    <col min="7683" max="7683" width="8.5703125" customWidth="1"/>
    <col min="7684" max="7684" width="32.7109375" customWidth="1"/>
    <col min="7685" max="7685" width="12.42578125" customWidth="1"/>
    <col min="7686" max="7686" width="11.140625" customWidth="1"/>
    <col min="7687" max="7687" width="10" customWidth="1"/>
    <col min="7937" max="7937" width="5.140625" customWidth="1"/>
    <col min="7938" max="7938" width="6.5703125" customWidth="1"/>
    <col min="7939" max="7939" width="8.5703125" customWidth="1"/>
    <col min="7940" max="7940" width="32.7109375" customWidth="1"/>
    <col min="7941" max="7941" width="12.42578125" customWidth="1"/>
    <col min="7942" max="7942" width="11.140625" customWidth="1"/>
    <col min="7943" max="7943" width="10" customWidth="1"/>
    <col min="8193" max="8193" width="5.140625" customWidth="1"/>
    <col min="8194" max="8194" width="6.5703125" customWidth="1"/>
    <col min="8195" max="8195" width="8.5703125" customWidth="1"/>
    <col min="8196" max="8196" width="32.7109375" customWidth="1"/>
    <col min="8197" max="8197" width="12.42578125" customWidth="1"/>
    <col min="8198" max="8198" width="11.140625" customWidth="1"/>
    <col min="8199" max="8199" width="10" customWidth="1"/>
    <col min="8449" max="8449" width="5.140625" customWidth="1"/>
    <col min="8450" max="8450" width="6.5703125" customWidth="1"/>
    <col min="8451" max="8451" width="8.5703125" customWidth="1"/>
    <col min="8452" max="8452" width="32.7109375" customWidth="1"/>
    <col min="8453" max="8453" width="12.42578125" customWidth="1"/>
    <col min="8454" max="8454" width="11.140625" customWidth="1"/>
    <col min="8455" max="8455" width="10" customWidth="1"/>
    <col min="8705" max="8705" width="5.140625" customWidth="1"/>
    <col min="8706" max="8706" width="6.5703125" customWidth="1"/>
    <col min="8707" max="8707" width="8.5703125" customWidth="1"/>
    <col min="8708" max="8708" width="32.7109375" customWidth="1"/>
    <col min="8709" max="8709" width="12.42578125" customWidth="1"/>
    <col min="8710" max="8710" width="11.140625" customWidth="1"/>
    <col min="8711" max="8711" width="10" customWidth="1"/>
    <col min="8961" max="8961" width="5.140625" customWidth="1"/>
    <col min="8962" max="8962" width="6.5703125" customWidth="1"/>
    <col min="8963" max="8963" width="8.5703125" customWidth="1"/>
    <col min="8964" max="8964" width="32.7109375" customWidth="1"/>
    <col min="8965" max="8965" width="12.42578125" customWidth="1"/>
    <col min="8966" max="8966" width="11.140625" customWidth="1"/>
    <col min="8967" max="8967" width="10" customWidth="1"/>
    <col min="9217" max="9217" width="5.140625" customWidth="1"/>
    <col min="9218" max="9218" width="6.5703125" customWidth="1"/>
    <col min="9219" max="9219" width="8.5703125" customWidth="1"/>
    <col min="9220" max="9220" width="32.7109375" customWidth="1"/>
    <col min="9221" max="9221" width="12.42578125" customWidth="1"/>
    <col min="9222" max="9222" width="11.140625" customWidth="1"/>
    <col min="9223" max="9223" width="10" customWidth="1"/>
    <col min="9473" max="9473" width="5.140625" customWidth="1"/>
    <col min="9474" max="9474" width="6.5703125" customWidth="1"/>
    <col min="9475" max="9475" width="8.5703125" customWidth="1"/>
    <col min="9476" max="9476" width="32.7109375" customWidth="1"/>
    <col min="9477" max="9477" width="12.42578125" customWidth="1"/>
    <col min="9478" max="9478" width="11.140625" customWidth="1"/>
    <col min="9479" max="9479" width="10" customWidth="1"/>
    <col min="9729" max="9729" width="5.140625" customWidth="1"/>
    <col min="9730" max="9730" width="6.5703125" customWidth="1"/>
    <col min="9731" max="9731" width="8.5703125" customWidth="1"/>
    <col min="9732" max="9732" width="32.7109375" customWidth="1"/>
    <col min="9733" max="9733" width="12.42578125" customWidth="1"/>
    <col min="9734" max="9734" width="11.140625" customWidth="1"/>
    <col min="9735" max="9735" width="10" customWidth="1"/>
    <col min="9985" max="9985" width="5.140625" customWidth="1"/>
    <col min="9986" max="9986" width="6.5703125" customWidth="1"/>
    <col min="9987" max="9987" width="8.5703125" customWidth="1"/>
    <col min="9988" max="9988" width="32.7109375" customWidth="1"/>
    <col min="9989" max="9989" width="12.42578125" customWidth="1"/>
    <col min="9990" max="9990" width="11.140625" customWidth="1"/>
    <col min="9991" max="9991" width="10" customWidth="1"/>
    <col min="10241" max="10241" width="5.140625" customWidth="1"/>
    <col min="10242" max="10242" width="6.5703125" customWidth="1"/>
    <col min="10243" max="10243" width="8.5703125" customWidth="1"/>
    <col min="10244" max="10244" width="32.7109375" customWidth="1"/>
    <col min="10245" max="10245" width="12.42578125" customWidth="1"/>
    <col min="10246" max="10246" width="11.140625" customWidth="1"/>
    <col min="10247" max="10247" width="10" customWidth="1"/>
    <col min="10497" max="10497" width="5.140625" customWidth="1"/>
    <col min="10498" max="10498" width="6.5703125" customWidth="1"/>
    <col min="10499" max="10499" width="8.5703125" customWidth="1"/>
    <col min="10500" max="10500" width="32.7109375" customWidth="1"/>
    <col min="10501" max="10501" width="12.42578125" customWidth="1"/>
    <col min="10502" max="10502" width="11.140625" customWidth="1"/>
    <col min="10503" max="10503" width="10" customWidth="1"/>
    <col min="10753" max="10753" width="5.140625" customWidth="1"/>
    <col min="10754" max="10754" width="6.5703125" customWidth="1"/>
    <col min="10755" max="10755" width="8.5703125" customWidth="1"/>
    <col min="10756" max="10756" width="32.7109375" customWidth="1"/>
    <col min="10757" max="10757" width="12.42578125" customWidth="1"/>
    <col min="10758" max="10758" width="11.140625" customWidth="1"/>
    <col min="10759" max="10759" width="10" customWidth="1"/>
    <col min="11009" max="11009" width="5.140625" customWidth="1"/>
    <col min="11010" max="11010" width="6.5703125" customWidth="1"/>
    <col min="11011" max="11011" width="8.5703125" customWidth="1"/>
    <col min="11012" max="11012" width="32.7109375" customWidth="1"/>
    <col min="11013" max="11013" width="12.42578125" customWidth="1"/>
    <col min="11014" max="11014" width="11.140625" customWidth="1"/>
    <col min="11015" max="11015" width="10" customWidth="1"/>
    <col min="11265" max="11265" width="5.140625" customWidth="1"/>
    <col min="11266" max="11266" width="6.5703125" customWidth="1"/>
    <col min="11267" max="11267" width="8.5703125" customWidth="1"/>
    <col min="11268" max="11268" width="32.7109375" customWidth="1"/>
    <col min="11269" max="11269" width="12.42578125" customWidth="1"/>
    <col min="11270" max="11270" width="11.140625" customWidth="1"/>
    <col min="11271" max="11271" width="10" customWidth="1"/>
    <col min="11521" max="11521" width="5.140625" customWidth="1"/>
    <col min="11522" max="11522" width="6.5703125" customWidth="1"/>
    <col min="11523" max="11523" width="8.5703125" customWidth="1"/>
    <col min="11524" max="11524" width="32.7109375" customWidth="1"/>
    <col min="11525" max="11525" width="12.42578125" customWidth="1"/>
    <col min="11526" max="11526" width="11.140625" customWidth="1"/>
    <col min="11527" max="11527" width="10" customWidth="1"/>
    <col min="11777" max="11777" width="5.140625" customWidth="1"/>
    <col min="11778" max="11778" width="6.5703125" customWidth="1"/>
    <col min="11779" max="11779" width="8.5703125" customWidth="1"/>
    <col min="11780" max="11780" width="32.7109375" customWidth="1"/>
    <col min="11781" max="11781" width="12.42578125" customWidth="1"/>
    <col min="11782" max="11782" width="11.140625" customWidth="1"/>
    <col min="11783" max="11783" width="10" customWidth="1"/>
    <col min="12033" max="12033" width="5.140625" customWidth="1"/>
    <col min="12034" max="12034" width="6.5703125" customWidth="1"/>
    <col min="12035" max="12035" width="8.5703125" customWidth="1"/>
    <col min="12036" max="12036" width="32.7109375" customWidth="1"/>
    <col min="12037" max="12037" width="12.42578125" customWidth="1"/>
    <col min="12038" max="12038" width="11.140625" customWidth="1"/>
    <col min="12039" max="12039" width="10" customWidth="1"/>
    <col min="12289" max="12289" width="5.140625" customWidth="1"/>
    <col min="12290" max="12290" width="6.5703125" customWidth="1"/>
    <col min="12291" max="12291" width="8.5703125" customWidth="1"/>
    <col min="12292" max="12292" width="32.7109375" customWidth="1"/>
    <col min="12293" max="12293" width="12.42578125" customWidth="1"/>
    <col min="12294" max="12294" width="11.140625" customWidth="1"/>
    <col min="12295" max="12295" width="10" customWidth="1"/>
    <col min="12545" max="12545" width="5.140625" customWidth="1"/>
    <col min="12546" max="12546" width="6.5703125" customWidth="1"/>
    <col min="12547" max="12547" width="8.5703125" customWidth="1"/>
    <col min="12548" max="12548" width="32.7109375" customWidth="1"/>
    <col min="12549" max="12549" width="12.42578125" customWidth="1"/>
    <col min="12550" max="12550" width="11.140625" customWidth="1"/>
    <col min="12551" max="12551" width="10" customWidth="1"/>
    <col min="12801" max="12801" width="5.140625" customWidth="1"/>
    <col min="12802" max="12802" width="6.5703125" customWidth="1"/>
    <col min="12803" max="12803" width="8.5703125" customWidth="1"/>
    <col min="12804" max="12804" width="32.7109375" customWidth="1"/>
    <col min="12805" max="12805" width="12.42578125" customWidth="1"/>
    <col min="12806" max="12806" width="11.140625" customWidth="1"/>
    <col min="12807" max="12807" width="10" customWidth="1"/>
    <col min="13057" max="13057" width="5.140625" customWidth="1"/>
    <col min="13058" max="13058" width="6.5703125" customWidth="1"/>
    <col min="13059" max="13059" width="8.5703125" customWidth="1"/>
    <col min="13060" max="13060" width="32.7109375" customWidth="1"/>
    <col min="13061" max="13061" width="12.42578125" customWidth="1"/>
    <col min="13062" max="13062" width="11.140625" customWidth="1"/>
    <col min="13063" max="13063" width="10" customWidth="1"/>
    <col min="13313" max="13313" width="5.140625" customWidth="1"/>
    <col min="13314" max="13314" width="6.5703125" customWidth="1"/>
    <col min="13315" max="13315" width="8.5703125" customWidth="1"/>
    <col min="13316" max="13316" width="32.7109375" customWidth="1"/>
    <col min="13317" max="13317" width="12.42578125" customWidth="1"/>
    <col min="13318" max="13318" width="11.140625" customWidth="1"/>
    <col min="13319" max="13319" width="10" customWidth="1"/>
    <col min="13569" max="13569" width="5.140625" customWidth="1"/>
    <col min="13570" max="13570" width="6.5703125" customWidth="1"/>
    <col min="13571" max="13571" width="8.5703125" customWidth="1"/>
    <col min="13572" max="13572" width="32.7109375" customWidth="1"/>
    <col min="13573" max="13573" width="12.42578125" customWidth="1"/>
    <col min="13574" max="13574" width="11.140625" customWidth="1"/>
    <col min="13575" max="13575" width="10" customWidth="1"/>
    <col min="13825" max="13825" width="5.140625" customWidth="1"/>
    <col min="13826" max="13826" width="6.5703125" customWidth="1"/>
    <col min="13827" max="13827" width="8.5703125" customWidth="1"/>
    <col min="13828" max="13828" width="32.7109375" customWidth="1"/>
    <col min="13829" max="13829" width="12.42578125" customWidth="1"/>
    <col min="13830" max="13830" width="11.140625" customWidth="1"/>
    <col min="13831" max="13831" width="10" customWidth="1"/>
    <col min="14081" max="14081" width="5.140625" customWidth="1"/>
    <col min="14082" max="14082" width="6.5703125" customWidth="1"/>
    <col min="14083" max="14083" width="8.5703125" customWidth="1"/>
    <col min="14084" max="14084" width="32.7109375" customWidth="1"/>
    <col min="14085" max="14085" width="12.42578125" customWidth="1"/>
    <col min="14086" max="14086" width="11.140625" customWidth="1"/>
    <col min="14087" max="14087" width="10" customWidth="1"/>
    <col min="14337" max="14337" width="5.140625" customWidth="1"/>
    <col min="14338" max="14338" width="6.5703125" customWidth="1"/>
    <col min="14339" max="14339" width="8.5703125" customWidth="1"/>
    <col min="14340" max="14340" width="32.7109375" customWidth="1"/>
    <col min="14341" max="14341" width="12.42578125" customWidth="1"/>
    <col min="14342" max="14342" width="11.140625" customWidth="1"/>
    <col min="14343" max="14343" width="10" customWidth="1"/>
    <col min="14593" max="14593" width="5.140625" customWidth="1"/>
    <col min="14594" max="14594" width="6.5703125" customWidth="1"/>
    <col min="14595" max="14595" width="8.5703125" customWidth="1"/>
    <col min="14596" max="14596" width="32.7109375" customWidth="1"/>
    <col min="14597" max="14597" width="12.42578125" customWidth="1"/>
    <col min="14598" max="14598" width="11.140625" customWidth="1"/>
    <col min="14599" max="14599" width="10" customWidth="1"/>
    <col min="14849" max="14849" width="5.140625" customWidth="1"/>
    <col min="14850" max="14850" width="6.5703125" customWidth="1"/>
    <col min="14851" max="14851" width="8.5703125" customWidth="1"/>
    <col min="14852" max="14852" width="32.7109375" customWidth="1"/>
    <col min="14853" max="14853" width="12.42578125" customWidth="1"/>
    <col min="14854" max="14854" width="11.140625" customWidth="1"/>
    <col min="14855" max="14855" width="10" customWidth="1"/>
    <col min="15105" max="15105" width="5.140625" customWidth="1"/>
    <col min="15106" max="15106" width="6.5703125" customWidth="1"/>
    <col min="15107" max="15107" width="8.5703125" customWidth="1"/>
    <col min="15108" max="15108" width="32.7109375" customWidth="1"/>
    <col min="15109" max="15109" width="12.42578125" customWidth="1"/>
    <col min="15110" max="15110" width="11.140625" customWidth="1"/>
    <col min="15111" max="15111" width="10" customWidth="1"/>
    <col min="15361" max="15361" width="5.140625" customWidth="1"/>
    <col min="15362" max="15362" width="6.5703125" customWidth="1"/>
    <col min="15363" max="15363" width="8.5703125" customWidth="1"/>
    <col min="15364" max="15364" width="32.7109375" customWidth="1"/>
    <col min="15365" max="15365" width="12.42578125" customWidth="1"/>
    <col min="15366" max="15366" width="11.140625" customWidth="1"/>
    <col min="15367" max="15367" width="10" customWidth="1"/>
    <col min="15617" max="15617" width="5.140625" customWidth="1"/>
    <col min="15618" max="15618" width="6.5703125" customWidth="1"/>
    <col min="15619" max="15619" width="8.5703125" customWidth="1"/>
    <col min="15620" max="15620" width="32.7109375" customWidth="1"/>
    <col min="15621" max="15621" width="12.42578125" customWidth="1"/>
    <col min="15622" max="15622" width="11.140625" customWidth="1"/>
    <col min="15623" max="15623" width="10" customWidth="1"/>
    <col min="15873" max="15873" width="5.140625" customWidth="1"/>
    <col min="15874" max="15874" width="6.5703125" customWidth="1"/>
    <col min="15875" max="15875" width="8.5703125" customWidth="1"/>
    <col min="15876" max="15876" width="32.7109375" customWidth="1"/>
    <col min="15877" max="15877" width="12.42578125" customWidth="1"/>
    <col min="15878" max="15878" width="11.140625" customWidth="1"/>
    <col min="15879" max="15879" width="10" customWidth="1"/>
    <col min="16129" max="16129" width="5.140625" customWidth="1"/>
    <col min="16130" max="16130" width="6.5703125" customWidth="1"/>
    <col min="16131" max="16131" width="8.5703125" customWidth="1"/>
    <col min="16132" max="16132" width="32.7109375" customWidth="1"/>
    <col min="16133" max="16133" width="12.42578125" customWidth="1"/>
    <col min="16134" max="16134" width="11.140625" customWidth="1"/>
    <col min="16135" max="16135" width="10" customWidth="1"/>
  </cols>
  <sheetData>
    <row r="1" spans="1:10" x14ac:dyDescent="0.25">
      <c r="A1" s="275"/>
      <c r="B1" s="275"/>
      <c r="C1" s="275"/>
      <c r="D1" s="275"/>
      <c r="E1" s="275"/>
      <c r="F1" s="283"/>
      <c r="G1" s="124" t="s">
        <v>381</v>
      </c>
      <c r="H1" s="275"/>
      <c r="I1" s="275"/>
      <c r="J1" s="275"/>
    </row>
    <row r="2" spans="1:10" hidden="1" x14ac:dyDescent="0.25">
      <c r="A2" s="275"/>
      <c r="B2" s="275"/>
      <c r="C2" s="275"/>
      <c r="D2" s="275"/>
      <c r="E2" s="275"/>
      <c r="F2" s="283"/>
      <c r="G2" s="284"/>
      <c r="H2" s="275"/>
      <c r="I2" s="275"/>
      <c r="J2" s="275"/>
    </row>
    <row r="3" spans="1:10" hidden="1" x14ac:dyDescent="0.25">
      <c r="A3" s="270"/>
      <c r="B3" s="270"/>
      <c r="C3" s="270"/>
      <c r="D3" s="125"/>
      <c r="E3" s="125"/>
      <c r="F3" s="126"/>
      <c r="G3" s="127"/>
      <c r="H3" s="125"/>
      <c r="I3" s="66"/>
      <c r="J3" s="275"/>
    </row>
    <row r="4" spans="1:10" hidden="1" x14ac:dyDescent="0.25">
      <c r="A4" s="270"/>
      <c r="B4" s="270"/>
      <c r="C4" s="270"/>
      <c r="D4" s="66"/>
      <c r="E4" s="66"/>
      <c r="F4" s="128"/>
      <c r="G4" s="127"/>
      <c r="H4" s="66"/>
      <c r="I4" s="66"/>
      <c r="J4" s="275"/>
    </row>
    <row r="5" spans="1:10" ht="15.75" hidden="1" x14ac:dyDescent="0.25">
      <c r="A5" s="531"/>
      <c r="B5" s="531"/>
      <c r="C5" s="531"/>
      <c r="D5" s="531"/>
      <c r="E5" s="531"/>
      <c r="F5" s="531"/>
      <c r="G5" s="531"/>
      <c r="H5" s="531"/>
      <c r="I5" s="531"/>
      <c r="J5" s="531"/>
    </row>
    <row r="6" spans="1:10" hidden="1" x14ac:dyDescent="0.25">
      <c r="A6" s="275"/>
      <c r="B6" s="275"/>
      <c r="C6" s="275"/>
      <c r="D6" s="275"/>
      <c r="E6" s="275"/>
      <c r="F6" s="283"/>
      <c r="G6" s="284"/>
      <c r="H6" s="273"/>
      <c r="I6" s="273"/>
      <c r="J6" s="129"/>
    </row>
    <row r="7" spans="1:10" hidden="1" x14ac:dyDescent="0.25">
      <c r="A7" s="275"/>
      <c r="B7" s="275"/>
      <c r="C7" s="275"/>
      <c r="D7" s="275"/>
      <c r="E7" s="275"/>
      <c r="F7" s="283"/>
      <c r="G7" s="284"/>
      <c r="H7" s="532"/>
      <c r="I7" s="532"/>
      <c r="J7" s="269"/>
    </row>
    <row r="8" spans="1:10" ht="37.15" customHeight="1" x14ac:dyDescent="0.25">
      <c r="A8" s="509" t="s">
        <v>272</v>
      </c>
      <c r="B8" s="509"/>
      <c r="C8" s="509"/>
      <c r="D8" s="509"/>
      <c r="E8" s="509"/>
      <c r="F8" s="509"/>
      <c r="G8" s="509"/>
      <c r="H8" s="268"/>
      <c r="I8" s="268"/>
      <c r="J8" s="269"/>
    </row>
    <row r="9" spans="1:10" ht="15.75" x14ac:dyDescent="0.25">
      <c r="A9" s="265"/>
      <c r="B9" s="265"/>
      <c r="C9" s="265"/>
      <c r="D9" s="265"/>
      <c r="E9" s="265"/>
      <c r="F9" s="265"/>
      <c r="G9" s="265"/>
      <c r="H9" s="268"/>
      <c r="I9" s="268"/>
      <c r="J9" s="269"/>
    </row>
    <row r="10" spans="1:10" ht="15.75" x14ac:dyDescent="0.25">
      <c r="A10" s="265"/>
      <c r="B10" s="265"/>
      <c r="C10" s="265"/>
      <c r="D10" s="265"/>
      <c r="E10" s="265"/>
      <c r="F10" s="265"/>
      <c r="G10" s="124"/>
      <c r="H10" s="268"/>
      <c r="I10" s="268"/>
      <c r="J10" s="269"/>
    </row>
    <row r="11" spans="1:10" x14ac:dyDescent="0.25">
      <c r="A11" s="275"/>
      <c r="B11" s="275"/>
      <c r="C11" s="275"/>
      <c r="D11" s="270"/>
      <c r="E11" s="270"/>
      <c r="F11" s="272"/>
      <c r="G11" s="130"/>
      <c r="H11" s="131"/>
      <c r="I11" s="131"/>
      <c r="J11" s="132"/>
    </row>
    <row r="12" spans="1:10" x14ac:dyDescent="0.25">
      <c r="A12" s="510" t="s">
        <v>216</v>
      </c>
      <c r="B12" s="510" t="s">
        <v>2</v>
      </c>
      <c r="C12" s="510" t="s">
        <v>68</v>
      </c>
      <c r="D12" s="533" t="s">
        <v>268</v>
      </c>
      <c r="E12" s="534"/>
      <c r="F12" s="266"/>
      <c r="G12" s="540"/>
      <c r="H12" s="133"/>
      <c r="I12" s="133"/>
      <c r="J12" s="134"/>
    </row>
    <row r="13" spans="1:10" ht="25.5" x14ac:dyDescent="0.25">
      <c r="A13" s="510"/>
      <c r="B13" s="510"/>
      <c r="C13" s="510"/>
      <c r="D13" s="533"/>
      <c r="E13" s="535"/>
      <c r="F13" s="285" t="s">
        <v>273</v>
      </c>
      <c r="G13" s="541"/>
      <c r="H13" s="273"/>
      <c r="I13" s="273"/>
      <c r="J13" s="274"/>
    </row>
    <row r="14" spans="1:10" x14ac:dyDescent="0.25">
      <c r="A14" s="510"/>
      <c r="B14" s="510"/>
      <c r="C14" s="510"/>
      <c r="D14" s="533"/>
      <c r="E14" s="536"/>
      <c r="F14" s="267"/>
      <c r="G14" s="542"/>
      <c r="H14" s="133"/>
      <c r="I14" s="133"/>
      <c r="J14" s="134"/>
    </row>
    <row r="15" spans="1:10" x14ac:dyDescent="0.25">
      <c r="A15" s="286"/>
      <c r="B15" s="286"/>
      <c r="C15" s="286"/>
      <c r="D15" s="287"/>
      <c r="E15" s="288" t="s">
        <v>5</v>
      </c>
      <c r="F15" s="289" t="s">
        <v>6</v>
      </c>
      <c r="G15" s="290" t="s">
        <v>70</v>
      </c>
      <c r="H15" s="133"/>
      <c r="I15" s="133"/>
      <c r="J15" s="134"/>
    </row>
    <row r="16" spans="1:10" s="103" customFormat="1" ht="25.5" x14ac:dyDescent="0.2">
      <c r="A16" s="291"/>
      <c r="B16" s="291"/>
      <c r="C16" s="291"/>
      <c r="D16" s="135" t="s">
        <v>274</v>
      </c>
      <c r="E16" s="106">
        <f>SUM(E18:E28)</f>
        <v>857045.6</v>
      </c>
      <c r="F16" s="106">
        <f>SUM(F18:F28)</f>
        <v>817538.35</v>
      </c>
      <c r="G16" s="106">
        <f>F16/E16*100</f>
        <v>95.390297785788761</v>
      </c>
      <c r="H16" s="137"/>
      <c r="I16" s="137"/>
      <c r="J16" s="292"/>
    </row>
    <row r="17" spans="1:10" s="107" customFormat="1" ht="12.75" hidden="1" x14ac:dyDescent="0.2">
      <c r="A17" s="293"/>
      <c r="B17" s="293"/>
      <c r="C17" s="293"/>
      <c r="D17" s="135"/>
      <c r="E17" s="294"/>
      <c r="F17" s="295"/>
      <c r="G17" s="106" t="e">
        <f t="shared" ref="G17:G36" si="0">F17/E17*100</f>
        <v>#DIV/0!</v>
      </c>
      <c r="H17" s="133"/>
      <c r="I17" s="133"/>
      <c r="J17" s="296"/>
    </row>
    <row r="18" spans="1:10" x14ac:dyDescent="0.25">
      <c r="A18" s="297">
        <v>1</v>
      </c>
      <c r="B18" s="356">
        <v>600</v>
      </c>
      <c r="C18" s="356">
        <v>60013</v>
      </c>
      <c r="D18" s="357" t="s">
        <v>415</v>
      </c>
      <c r="E18" s="299">
        <v>100000</v>
      </c>
      <c r="F18" s="299">
        <v>100000</v>
      </c>
      <c r="G18" s="235">
        <f t="shared" si="0"/>
        <v>100</v>
      </c>
      <c r="H18" s="273"/>
      <c r="I18" s="273"/>
      <c r="J18" s="274"/>
    </row>
    <row r="19" spans="1:10" x14ac:dyDescent="0.25">
      <c r="A19" s="297">
        <v>2</v>
      </c>
      <c r="B19" s="358" t="s">
        <v>19</v>
      </c>
      <c r="C19" s="358" t="s">
        <v>333</v>
      </c>
      <c r="D19" s="357" t="s">
        <v>275</v>
      </c>
      <c r="E19" s="299">
        <v>532549</v>
      </c>
      <c r="F19" s="299">
        <v>531703.68000000005</v>
      </c>
      <c r="G19" s="235">
        <f t="shared" si="0"/>
        <v>99.841269066320677</v>
      </c>
      <c r="H19" s="273"/>
      <c r="I19" s="273"/>
      <c r="J19" s="274"/>
    </row>
    <row r="20" spans="1:10" x14ac:dyDescent="0.25">
      <c r="A20" s="297">
        <v>3</v>
      </c>
      <c r="B20" s="358" t="s">
        <v>19</v>
      </c>
      <c r="C20" s="358" t="s">
        <v>333</v>
      </c>
      <c r="D20" s="357" t="s">
        <v>275</v>
      </c>
      <c r="E20" s="299">
        <v>23556.6</v>
      </c>
      <c r="F20" s="299">
        <f>13800.6+9656.6</f>
        <v>23457.200000000001</v>
      </c>
      <c r="G20" s="235">
        <f t="shared" si="0"/>
        <v>99.57803757757911</v>
      </c>
      <c r="H20" s="273"/>
      <c r="I20" s="273"/>
      <c r="J20" s="274"/>
    </row>
    <row r="21" spans="1:10" x14ac:dyDescent="0.25">
      <c r="A21" s="297">
        <v>4</v>
      </c>
      <c r="B21" s="358" t="s">
        <v>19</v>
      </c>
      <c r="C21" s="358" t="s">
        <v>333</v>
      </c>
      <c r="D21" s="357" t="s">
        <v>275</v>
      </c>
      <c r="E21" s="299">
        <v>9074</v>
      </c>
      <c r="F21" s="299">
        <v>9034.11</v>
      </c>
      <c r="G21" s="235">
        <f t="shared" si="0"/>
        <v>99.560392329733304</v>
      </c>
      <c r="H21" s="273"/>
      <c r="I21" s="273"/>
      <c r="J21" s="274"/>
    </row>
    <row r="22" spans="1:10" x14ac:dyDescent="0.25">
      <c r="A22" s="297">
        <v>5</v>
      </c>
      <c r="B22" s="358" t="s">
        <v>19</v>
      </c>
      <c r="C22" s="358" t="s">
        <v>333</v>
      </c>
      <c r="D22" s="357" t="s">
        <v>275</v>
      </c>
      <c r="E22" s="299">
        <v>10500</v>
      </c>
      <c r="F22" s="299">
        <v>0</v>
      </c>
      <c r="G22" s="235">
        <f t="shared" si="0"/>
        <v>0</v>
      </c>
      <c r="H22" s="273"/>
      <c r="I22" s="273"/>
      <c r="J22" s="274"/>
    </row>
    <row r="23" spans="1:10" x14ac:dyDescent="0.25">
      <c r="A23" s="297">
        <v>6</v>
      </c>
      <c r="B23" s="358" t="s">
        <v>25</v>
      </c>
      <c r="C23" s="358" t="s">
        <v>99</v>
      </c>
      <c r="D23" s="357" t="s">
        <v>275</v>
      </c>
      <c r="E23" s="299">
        <v>6000</v>
      </c>
      <c r="F23" s="299">
        <v>0</v>
      </c>
      <c r="G23" s="235">
        <f t="shared" si="0"/>
        <v>0</v>
      </c>
      <c r="H23" s="273"/>
      <c r="I23" s="273"/>
      <c r="J23" s="274"/>
    </row>
    <row r="24" spans="1:10" x14ac:dyDescent="0.25">
      <c r="A24" s="297">
        <v>5</v>
      </c>
      <c r="B24" s="358" t="s">
        <v>28</v>
      </c>
      <c r="C24" s="358" t="s">
        <v>411</v>
      </c>
      <c r="D24" s="357" t="s">
        <v>416</v>
      </c>
      <c r="E24" s="299">
        <v>30000</v>
      </c>
      <c r="F24" s="299">
        <v>30000</v>
      </c>
      <c r="G24" s="235">
        <f t="shared" si="0"/>
        <v>100</v>
      </c>
      <c r="H24" s="273"/>
      <c r="I24" s="273"/>
      <c r="J24" s="274"/>
    </row>
    <row r="25" spans="1:10" ht="25.5" x14ac:dyDescent="0.25">
      <c r="A25" s="297">
        <v>6</v>
      </c>
      <c r="B25" s="358" t="s">
        <v>28</v>
      </c>
      <c r="C25" s="358" t="s">
        <v>404</v>
      </c>
      <c r="D25" s="357" t="s">
        <v>417</v>
      </c>
      <c r="E25" s="299">
        <v>20000</v>
      </c>
      <c r="F25" s="299">
        <v>20000</v>
      </c>
      <c r="G25" s="235">
        <f t="shared" si="0"/>
        <v>100</v>
      </c>
      <c r="H25" s="273"/>
      <c r="I25" s="273"/>
      <c r="J25" s="274"/>
    </row>
    <row r="26" spans="1:10" x14ac:dyDescent="0.25">
      <c r="A26" s="301">
        <v>7</v>
      </c>
      <c r="B26" s="291">
        <v>801</v>
      </c>
      <c r="C26" s="291">
        <v>80195</v>
      </c>
      <c r="D26" s="297" t="s">
        <v>290</v>
      </c>
      <c r="E26" s="302">
        <v>4500</v>
      </c>
      <c r="F26" s="302">
        <v>4143.3599999999997</v>
      </c>
      <c r="G26" s="235">
        <f t="shared" si="0"/>
        <v>92.074666666666658</v>
      </c>
      <c r="H26" s="273"/>
      <c r="I26" s="273"/>
      <c r="J26" s="274"/>
    </row>
    <row r="27" spans="1:10" x14ac:dyDescent="0.25">
      <c r="A27" s="301"/>
      <c r="B27" s="291">
        <v>851</v>
      </c>
      <c r="C27" s="291">
        <v>85111</v>
      </c>
      <c r="D27" s="297" t="s">
        <v>275</v>
      </c>
      <c r="E27" s="302">
        <v>5000</v>
      </c>
      <c r="F27" s="302">
        <v>5000</v>
      </c>
      <c r="G27" s="235">
        <f t="shared" si="0"/>
        <v>100</v>
      </c>
      <c r="H27" s="273"/>
      <c r="I27" s="273"/>
      <c r="J27" s="274"/>
    </row>
    <row r="28" spans="1:10" x14ac:dyDescent="0.25">
      <c r="A28" s="301"/>
      <c r="B28" s="291">
        <v>900</v>
      </c>
      <c r="C28" s="291">
        <v>90095</v>
      </c>
      <c r="D28" s="297" t="s">
        <v>449</v>
      </c>
      <c r="E28" s="302">
        <v>115866</v>
      </c>
      <c r="F28" s="302">
        <v>94200</v>
      </c>
      <c r="G28" s="235">
        <f t="shared" si="0"/>
        <v>81.300813008130078</v>
      </c>
      <c r="H28" s="273"/>
      <c r="I28" s="273"/>
      <c r="J28" s="274"/>
    </row>
    <row r="29" spans="1:10" s="107" customFormat="1" ht="25.5" x14ac:dyDescent="0.2">
      <c r="A29" s="304"/>
      <c r="B29" s="305"/>
      <c r="C29" s="305"/>
      <c r="D29" s="135" t="s">
        <v>312</v>
      </c>
      <c r="E29" s="106">
        <f>SUM(E30:E36)</f>
        <v>550747</v>
      </c>
      <c r="F29" s="106">
        <f>SUM(F30:F36)</f>
        <v>448747</v>
      </c>
      <c r="G29" s="106">
        <f t="shared" si="0"/>
        <v>81.479699390101075</v>
      </c>
      <c r="H29" s="133"/>
      <c r="I29" s="133"/>
      <c r="J29" s="134"/>
    </row>
    <row r="30" spans="1:10" s="107" customFormat="1" ht="27.75" customHeight="1" x14ac:dyDescent="0.2">
      <c r="A30" s="395"/>
      <c r="B30" s="396" t="s">
        <v>28</v>
      </c>
      <c r="C30" s="396" t="s">
        <v>107</v>
      </c>
      <c r="D30" s="394" t="s">
        <v>451</v>
      </c>
      <c r="E30" s="235">
        <v>200000</v>
      </c>
      <c r="F30" s="235">
        <v>200000</v>
      </c>
      <c r="G30" s="235">
        <f>F30/E30*100</f>
        <v>100</v>
      </c>
      <c r="H30" s="133"/>
      <c r="I30" s="133"/>
      <c r="J30" s="134"/>
    </row>
    <row r="31" spans="1:10" s="107" customFormat="1" ht="30.75" customHeight="1" x14ac:dyDescent="0.2">
      <c r="A31" s="395"/>
      <c r="B31" s="396" t="s">
        <v>28</v>
      </c>
      <c r="C31" s="396" t="s">
        <v>107</v>
      </c>
      <c r="D31" s="394" t="s">
        <v>450</v>
      </c>
      <c r="E31" s="235">
        <v>7747</v>
      </c>
      <c r="F31" s="235">
        <v>7747</v>
      </c>
      <c r="G31" s="235">
        <f>F31/E31*100</f>
        <v>100</v>
      </c>
      <c r="H31" s="133"/>
      <c r="I31" s="133"/>
      <c r="J31" s="134"/>
    </row>
    <row r="32" spans="1:10" s="118" customFormat="1" ht="25.5" x14ac:dyDescent="0.2">
      <c r="A32" s="297">
        <v>1</v>
      </c>
      <c r="B32" s="291">
        <v>921</v>
      </c>
      <c r="C32" s="291">
        <v>92105</v>
      </c>
      <c r="D32" s="359" t="s">
        <v>277</v>
      </c>
      <c r="E32" s="110">
        <v>25000</v>
      </c>
      <c r="F32" s="110">
        <v>25000</v>
      </c>
      <c r="G32" s="235">
        <f t="shared" si="0"/>
        <v>100</v>
      </c>
      <c r="H32" s="137"/>
      <c r="I32" s="137"/>
      <c r="J32" s="138"/>
    </row>
    <row r="33" spans="1:10" s="118" customFormat="1" ht="25.5" x14ac:dyDescent="0.2">
      <c r="A33" s="297">
        <v>2</v>
      </c>
      <c r="B33" s="291">
        <v>921</v>
      </c>
      <c r="C33" s="291">
        <v>92195</v>
      </c>
      <c r="D33" s="136" t="s">
        <v>278</v>
      </c>
      <c r="E33" s="110">
        <v>8000</v>
      </c>
      <c r="F33" s="110">
        <v>0</v>
      </c>
      <c r="G33" s="235">
        <f t="shared" si="0"/>
        <v>0</v>
      </c>
      <c r="H33" s="137"/>
      <c r="I33" s="137"/>
      <c r="J33" s="138"/>
    </row>
    <row r="34" spans="1:10" s="118" customFormat="1" ht="51" x14ac:dyDescent="0.2">
      <c r="A34" s="297">
        <v>3</v>
      </c>
      <c r="B34" s="291">
        <v>921</v>
      </c>
      <c r="C34" s="291">
        <v>92195</v>
      </c>
      <c r="D34" s="359" t="s">
        <v>418</v>
      </c>
      <c r="E34" s="110">
        <v>36000</v>
      </c>
      <c r="F34" s="110">
        <v>36000</v>
      </c>
      <c r="G34" s="235">
        <f t="shared" si="0"/>
        <v>100</v>
      </c>
      <c r="H34" s="137"/>
      <c r="I34" s="137"/>
      <c r="J34" s="138"/>
    </row>
    <row r="35" spans="1:10" ht="19.899999999999999" customHeight="1" x14ac:dyDescent="0.25">
      <c r="A35" s="297">
        <v>4</v>
      </c>
      <c r="B35" s="291">
        <v>921</v>
      </c>
      <c r="C35" s="291">
        <v>92120</v>
      </c>
      <c r="D35" s="359" t="s">
        <v>170</v>
      </c>
      <c r="E35" s="110">
        <v>94000</v>
      </c>
      <c r="F35" s="110">
        <v>0</v>
      </c>
      <c r="G35" s="235">
        <f t="shared" si="0"/>
        <v>0</v>
      </c>
      <c r="H35" s="273"/>
      <c r="I35" s="273"/>
      <c r="J35" s="306"/>
    </row>
    <row r="36" spans="1:10" ht="51" x14ac:dyDescent="0.25">
      <c r="A36" s="297">
        <v>5</v>
      </c>
      <c r="B36" s="291">
        <v>926</v>
      </c>
      <c r="C36" s="291">
        <v>92605</v>
      </c>
      <c r="D36" s="359" t="s">
        <v>332</v>
      </c>
      <c r="E36" s="110">
        <v>180000</v>
      </c>
      <c r="F36" s="110">
        <v>180000</v>
      </c>
      <c r="G36" s="235">
        <f t="shared" si="0"/>
        <v>100</v>
      </c>
      <c r="H36" s="273"/>
      <c r="I36" s="273"/>
      <c r="J36" s="306"/>
    </row>
    <row r="37" spans="1:10" x14ac:dyDescent="0.25">
      <c r="A37" s="528" t="s">
        <v>4</v>
      </c>
      <c r="B37" s="529"/>
      <c r="C37" s="529"/>
      <c r="D37" s="530"/>
      <c r="E37" s="307">
        <f>E16+E29</f>
        <v>1407792.6</v>
      </c>
      <c r="F37" s="308">
        <f>F16+F29</f>
        <v>1266285.3500000001</v>
      </c>
      <c r="G37" s="451">
        <f>F37/E37*100</f>
        <v>89.948288547617025</v>
      </c>
      <c r="H37" s="273"/>
      <c r="I37" s="273"/>
      <c r="J37" s="306"/>
    </row>
    <row r="42" spans="1:10" s="45" customFormat="1" x14ac:dyDescent="0.25">
      <c r="D42" s="139"/>
      <c r="E42" s="139"/>
      <c r="F42" s="139"/>
      <c r="G42" s="140"/>
      <c r="H42" s="141"/>
      <c r="I42" s="142"/>
      <c r="J42" s="143"/>
    </row>
  </sheetData>
  <mergeCells count="10">
    <mergeCell ref="A37:D37"/>
    <mergeCell ref="A5:J5"/>
    <mergeCell ref="H7:I7"/>
    <mergeCell ref="A8:G8"/>
    <mergeCell ref="A12:A14"/>
    <mergeCell ref="B12:B14"/>
    <mergeCell ref="C12:C14"/>
    <mergeCell ref="D12:D14"/>
    <mergeCell ref="E12:E14"/>
    <mergeCell ref="G12:G14"/>
  </mergeCells>
  <pageMargins left="0.7" right="0.7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L25" sqref="L25"/>
    </sheetView>
  </sheetViews>
  <sheetFormatPr defaultRowHeight="15" x14ac:dyDescent="0.25"/>
  <cols>
    <col min="1" max="1" width="9.28515625" bestFit="1" customWidth="1"/>
    <col min="2" max="2" width="50.85546875" customWidth="1"/>
    <col min="3" max="4" width="18.28515625" customWidth="1"/>
    <col min="5" max="5" width="21" customWidth="1"/>
    <col min="257" max="257" width="9.28515625" bestFit="1" customWidth="1"/>
    <col min="258" max="258" width="50.85546875" customWidth="1"/>
    <col min="259" max="260" width="18.28515625" customWidth="1"/>
    <col min="261" max="261" width="21" customWidth="1"/>
    <col min="513" max="513" width="9.28515625" bestFit="1" customWidth="1"/>
    <col min="514" max="514" width="50.85546875" customWidth="1"/>
    <col min="515" max="516" width="18.28515625" customWidth="1"/>
    <col min="517" max="517" width="21" customWidth="1"/>
    <col min="769" max="769" width="9.28515625" bestFit="1" customWidth="1"/>
    <col min="770" max="770" width="50.85546875" customWidth="1"/>
    <col min="771" max="772" width="18.28515625" customWidth="1"/>
    <col min="773" max="773" width="21" customWidth="1"/>
    <col min="1025" max="1025" width="9.28515625" bestFit="1" customWidth="1"/>
    <col min="1026" max="1026" width="50.85546875" customWidth="1"/>
    <col min="1027" max="1028" width="18.28515625" customWidth="1"/>
    <col min="1029" max="1029" width="21" customWidth="1"/>
    <col min="1281" max="1281" width="9.28515625" bestFit="1" customWidth="1"/>
    <col min="1282" max="1282" width="50.85546875" customWidth="1"/>
    <col min="1283" max="1284" width="18.28515625" customWidth="1"/>
    <col min="1285" max="1285" width="21" customWidth="1"/>
    <col min="1537" max="1537" width="9.28515625" bestFit="1" customWidth="1"/>
    <col min="1538" max="1538" width="50.85546875" customWidth="1"/>
    <col min="1539" max="1540" width="18.28515625" customWidth="1"/>
    <col min="1541" max="1541" width="21" customWidth="1"/>
    <col min="1793" max="1793" width="9.28515625" bestFit="1" customWidth="1"/>
    <col min="1794" max="1794" width="50.85546875" customWidth="1"/>
    <col min="1795" max="1796" width="18.28515625" customWidth="1"/>
    <col min="1797" max="1797" width="21" customWidth="1"/>
    <col min="2049" max="2049" width="9.28515625" bestFit="1" customWidth="1"/>
    <col min="2050" max="2050" width="50.85546875" customWidth="1"/>
    <col min="2051" max="2052" width="18.28515625" customWidth="1"/>
    <col min="2053" max="2053" width="21" customWidth="1"/>
    <col min="2305" max="2305" width="9.28515625" bestFit="1" customWidth="1"/>
    <col min="2306" max="2306" width="50.85546875" customWidth="1"/>
    <col min="2307" max="2308" width="18.28515625" customWidth="1"/>
    <col min="2309" max="2309" width="21" customWidth="1"/>
    <col min="2561" max="2561" width="9.28515625" bestFit="1" customWidth="1"/>
    <col min="2562" max="2562" width="50.85546875" customWidth="1"/>
    <col min="2563" max="2564" width="18.28515625" customWidth="1"/>
    <col min="2565" max="2565" width="21" customWidth="1"/>
    <col min="2817" max="2817" width="9.28515625" bestFit="1" customWidth="1"/>
    <col min="2818" max="2818" width="50.85546875" customWidth="1"/>
    <col min="2819" max="2820" width="18.28515625" customWidth="1"/>
    <col min="2821" max="2821" width="21" customWidth="1"/>
    <col min="3073" max="3073" width="9.28515625" bestFit="1" customWidth="1"/>
    <col min="3074" max="3074" width="50.85546875" customWidth="1"/>
    <col min="3075" max="3076" width="18.28515625" customWidth="1"/>
    <col min="3077" max="3077" width="21" customWidth="1"/>
    <col min="3329" max="3329" width="9.28515625" bestFit="1" customWidth="1"/>
    <col min="3330" max="3330" width="50.85546875" customWidth="1"/>
    <col min="3331" max="3332" width="18.28515625" customWidth="1"/>
    <col min="3333" max="3333" width="21" customWidth="1"/>
    <col min="3585" max="3585" width="9.28515625" bestFit="1" customWidth="1"/>
    <col min="3586" max="3586" width="50.85546875" customWidth="1"/>
    <col min="3587" max="3588" width="18.28515625" customWidth="1"/>
    <col min="3589" max="3589" width="21" customWidth="1"/>
    <col min="3841" max="3841" width="9.28515625" bestFit="1" customWidth="1"/>
    <col min="3842" max="3842" width="50.85546875" customWidth="1"/>
    <col min="3843" max="3844" width="18.28515625" customWidth="1"/>
    <col min="3845" max="3845" width="21" customWidth="1"/>
    <col min="4097" max="4097" width="9.28515625" bestFit="1" customWidth="1"/>
    <col min="4098" max="4098" width="50.85546875" customWidth="1"/>
    <col min="4099" max="4100" width="18.28515625" customWidth="1"/>
    <col min="4101" max="4101" width="21" customWidth="1"/>
    <col min="4353" max="4353" width="9.28515625" bestFit="1" customWidth="1"/>
    <col min="4354" max="4354" width="50.85546875" customWidth="1"/>
    <col min="4355" max="4356" width="18.28515625" customWidth="1"/>
    <col min="4357" max="4357" width="21" customWidth="1"/>
    <col min="4609" max="4609" width="9.28515625" bestFit="1" customWidth="1"/>
    <col min="4610" max="4610" width="50.85546875" customWidth="1"/>
    <col min="4611" max="4612" width="18.28515625" customWidth="1"/>
    <col min="4613" max="4613" width="21" customWidth="1"/>
    <col min="4865" max="4865" width="9.28515625" bestFit="1" customWidth="1"/>
    <col min="4866" max="4866" width="50.85546875" customWidth="1"/>
    <col min="4867" max="4868" width="18.28515625" customWidth="1"/>
    <col min="4869" max="4869" width="21" customWidth="1"/>
    <col min="5121" max="5121" width="9.28515625" bestFit="1" customWidth="1"/>
    <col min="5122" max="5122" width="50.85546875" customWidth="1"/>
    <col min="5123" max="5124" width="18.28515625" customWidth="1"/>
    <col min="5125" max="5125" width="21" customWidth="1"/>
    <col min="5377" max="5377" width="9.28515625" bestFit="1" customWidth="1"/>
    <col min="5378" max="5378" width="50.85546875" customWidth="1"/>
    <col min="5379" max="5380" width="18.28515625" customWidth="1"/>
    <col min="5381" max="5381" width="21" customWidth="1"/>
    <col min="5633" max="5633" width="9.28515625" bestFit="1" customWidth="1"/>
    <col min="5634" max="5634" width="50.85546875" customWidth="1"/>
    <col min="5635" max="5636" width="18.28515625" customWidth="1"/>
    <col min="5637" max="5637" width="21" customWidth="1"/>
    <col min="5889" max="5889" width="9.28515625" bestFit="1" customWidth="1"/>
    <col min="5890" max="5890" width="50.85546875" customWidth="1"/>
    <col min="5891" max="5892" width="18.28515625" customWidth="1"/>
    <col min="5893" max="5893" width="21" customWidth="1"/>
    <col min="6145" max="6145" width="9.28515625" bestFit="1" customWidth="1"/>
    <col min="6146" max="6146" width="50.85546875" customWidth="1"/>
    <col min="6147" max="6148" width="18.28515625" customWidth="1"/>
    <col min="6149" max="6149" width="21" customWidth="1"/>
    <col min="6401" max="6401" width="9.28515625" bestFit="1" customWidth="1"/>
    <col min="6402" max="6402" width="50.85546875" customWidth="1"/>
    <col min="6403" max="6404" width="18.28515625" customWidth="1"/>
    <col min="6405" max="6405" width="21" customWidth="1"/>
    <col min="6657" max="6657" width="9.28515625" bestFit="1" customWidth="1"/>
    <col min="6658" max="6658" width="50.85546875" customWidth="1"/>
    <col min="6659" max="6660" width="18.28515625" customWidth="1"/>
    <col min="6661" max="6661" width="21" customWidth="1"/>
    <col min="6913" max="6913" width="9.28515625" bestFit="1" customWidth="1"/>
    <col min="6914" max="6914" width="50.85546875" customWidth="1"/>
    <col min="6915" max="6916" width="18.28515625" customWidth="1"/>
    <col min="6917" max="6917" width="21" customWidth="1"/>
    <col min="7169" max="7169" width="9.28515625" bestFit="1" customWidth="1"/>
    <col min="7170" max="7170" width="50.85546875" customWidth="1"/>
    <col min="7171" max="7172" width="18.28515625" customWidth="1"/>
    <col min="7173" max="7173" width="21" customWidth="1"/>
    <col min="7425" max="7425" width="9.28515625" bestFit="1" customWidth="1"/>
    <col min="7426" max="7426" width="50.85546875" customWidth="1"/>
    <col min="7427" max="7428" width="18.28515625" customWidth="1"/>
    <col min="7429" max="7429" width="21" customWidth="1"/>
    <col min="7681" max="7681" width="9.28515625" bestFit="1" customWidth="1"/>
    <col min="7682" max="7682" width="50.85546875" customWidth="1"/>
    <col min="7683" max="7684" width="18.28515625" customWidth="1"/>
    <col min="7685" max="7685" width="21" customWidth="1"/>
    <col min="7937" max="7937" width="9.28515625" bestFit="1" customWidth="1"/>
    <col min="7938" max="7938" width="50.85546875" customWidth="1"/>
    <col min="7939" max="7940" width="18.28515625" customWidth="1"/>
    <col min="7941" max="7941" width="21" customWidth="1"/>
    <col min="8193" max="8193" width="9.28515625" bestFit="1" customWidth="1"/>
    <col min="8194" max="8194" width="50.85546875" customWidth="1"/>
    <col min="8195" max="8196" width="18.28515625" customWidth="1"/>
    <col min="8197" max="8197" width="21" customWidth="1"/>
    <col min="8449" max="8449" width="9.28515625" bestFit="1" customWidth="1"/>
    <col min="8450" max="8450" width="50.85546875" customWidth="1"/>
    <col min="8451" max="8452" width="18.28515625" customWidth="1"/>
    <col min="8453" max="8453" width="21" customWidth="1"/>
    <col min="8705" max="8705" width="9.28515625" bestFit="1" customWidth="1"/>
    <col min="8706" max="8706" width="50.85546875" customWidth="1"/>
    <col min="8707" max="8708" width="18.28515625" customWidth="1"/>
    <col min="8709" max="8709" width="21" customWidth="1"/>
    <col min="8961" max="8961" width="9.28515625" bestFit="1" customWidth="1"/>
    <col min="8962" max="8962" width="50.85546875" customWidth="1"/>
    <col min="8963" max="8964" width="18.28515625" customWidth="1"/>
    <col min="8965" max="8965" width="21" customWidth="1"/>
    <col min="9217" max="9217" width="9.28515625" bestFit="1" customWidth="1"/>
    <col min="9218" max="9218" width="50.85546875" customWidth="1"/>
    <col min="9219" max="9220" width="18.28515625" customWidth="1"/>
    <col min="9221" max="9221" width="21" customWidth="1"/>
    <col min="9473" max="9473" width="9.28515625" bestFit="1" customWidth="1"/>
    <col min="9474" max="9474" width="50.85546875" customWidth="1"/>
    <col min="9475" max="9476" width="18.28515625" customWidth="1"/>
    <col min="9477" max="9477" width="21" customWidth="1"/>
    <col min="9729" max="9729" width="9.28515625" bestFit="1" customWidth="1"/>
    <col min="9730" max="9730" width="50.85546875" customWidth="1"/>
    <col min="9731" max="9732" width="18.28515625" customWidth="1"/>
    <col min="9733" max="9733" width="21" customWidth="1"/>
    <col min="9985" max="9985" width="9.28515625" bestFit="1" customWidth="1"/>
    <col min="9986" max="9986" width="50.85546875" customWidth="1"/>
    <col min="9987" max="9988" width="18.28515625" customWidth="1"/>
    <col min="9989" max="9989" width="21" customWidth="1"/>
    <col min="10241" max="10241" width="9.28515625" bestFit="1" customWidth="1"/>
    <col min="10242" max="10242" width="50.85546875" customWidth="1"/>
    <col min="10243" max="10244" width="18.28515625" customWidth="1"/>
    <col min="10245" max="10245" width="21" customWidth="1"/>
    <col min="10497" max="10497" width="9.28515625" bestFit="1" customWidth="1"/>
    <col min="10498" max="10498" width="50.85546875" customWidth="1"/>
    <col min="10499" max="10500" width="18.28515625" customWidth="1"/>
    <col min="10501" max="10501" width="21" customWidth="1"/>
    <col min="10753" max="10753" width="9.28515625" bestFit="1" customWidth="1"/>
    <col min="10754" max="10754" width="50.85546875" customWidth="1"/>
    <col min="10755" max="10756" width="18.28515625" customWidth="1"/>
    <col min="10757" max="10757" width="21" customWidth="1"/>
    <col min="11009" max="11009" width="9.28515625" bestFit="1" customWidth="1"/>
    <col min="11010" max="11010" width="50.85546875" customWidth="1"/>
    <col min="11011" max="11012" width="18.28515625" customWidth="1"/>
    <col min="11013" max="11013" width="21" customWidth="1"/>
    <col min="11265" max="11265" width="9.28515625" bestFit="1" customWidth="1"/>
    <col min="11266" max="11266" width="50.85546875" customWidth="1"/>
    <col min="11267" max="11268" width="18.28515625" customWidth="1"/>
    <col min="11269" max="11269" width="21" customWidth="1"/>
    <col min="11521" max="11521" width="9.28515625" bestFit="1" customWidth="1"/>
    <col min="11522" max="11522" width="50.85546875" customWidth="1"/>
    <col min="11523" max="11524" width="18.28515625" customWidth="1"/>
    <col min="11525" max="11525" width="21" customWidth="1"/>
    <col min="11777" max="11777" width="9.28515625" bestFit="1" customWidth="1"/>
    <col min="11778" max="11778" width="50.85546875" customWidth="1"/>
    <col min="11779" max="11780" width="18.28515625" customWidth="1"/>
    <col min="11781" max="11781" width="21" customWidth="1"/>
    <col min="12033" max="12033" width="9.28515625" bestFit="1" customWidth="1"/>
    <col min="12034" max="12034" width="50.85546875" customWidth="1"/>
    <col min="12035" max="12036" width="18.28515625" customWidth="1"/>
    <col min="12037" max="12037" width="21" customWidth="1"/>
    <col min="12289" max="12289" width="9.28515625" bestFit="1" customWidth="1"/>
    <col min="12290" max="12290" width="50.85546875" customWidth="1"/>
    <col min="12291" max="12292" width="18.28515625" customWidth="1"/>
    <col min="12293" max="12293" width="21" customWidth="1"/>
    <col min="12545" max="12545" width="9.28515625" bestFit="1" customWidth="1"/>
    <col min="12546" max="12546" width="50.85546875" customWidth="1"/>
    <col min="12547" max="12548" width="18.28515625" customWidth="1"/>
    <col min="12549" max="12549" width="21" customWidth="1"/>
    <col min="12801" max="12801" width="9.28515625" bestFit="1" customWidth="1"/>
    <col min="12802" max="12802" width="50.85546875" customWidth="1"/>
    <col min="12803" max="12804" width="18.28515625" customWidth="1"/>
    <col min="12805" max="12805" width="21" customWidth="1"/>
    <col min="13057" max="13057" width="9.28515625" bestFit="1" customWidth="1"/>
    <col min="13058" max="13058" width="50.85546875" customWidth="1"/>
    <col min="13059" max="13060" width="18.28515625" customWidth="1"/>
    <col min="13061" max="13061" width="21" customWidth="1"/>
    <col min="13313" max="13313" width="9.28515625" bestFit="1" customWidth="1"/>
    <col min="13314" max="13314" width="50.85546875" customWidth="1"/>
    <col min="13315" max="13316" width="18.28515625" customWidth="1"/>
    <col min="13317" max="13317" width="21" customWidth="1"/>
    <col min="13569" max="13569" width="9.28515625" bestFit="1" customWidth="1"/>
    <col min="13570" max="13570" width="50.85546875" customWidth="1"/>
    <col min="13571" max="13572" width="18.28515625" customWidth="1"/>
    <col min="13573" max="13573" width="21" customWidth="1"/>
    <col min="13825" max="13825" width="9.28515625" bestFit="1" customWidth="1"/>
    <col min="13826" max="13826" width="50.85546875" customWidth="1"/>
    <col min="13827" max="13828" width="18.28515625" customWidth="1"/>
    <col min="13829" max="13829" width="21" customWidth="1"/>
    <col min="14081" max="14081" width="9.28515625" bestFit="1" customWidth="1"/>
    <col min="14082" max="14082" width="50.85546875" customWidth="1"/>
    <col min="14083" max="14084" width="18.28515625" customWidth="1"/>
    <col min="14085" max="14085" width="21" customWidth="1"/>
    <col min="14337" max="14337" width="9.28515625" bestFit="1" customWidth="1"/>
    <col min="14338" max="14338" width="50.85546875" customWidth="1"/>
    <col min="14339" max="14340" width="18.28515625" customWidth="1"/>
    <col min="14341" max="14341" width="21" customWidth="1"/>
    <col min="14593" max="14593" width="9.28515625" bestFit="1" customWidth="1"/>
    <col min="14594" max="14594" width="50.85546875" customWidth="1"/>
    <col min="14595" max="14596" width="18.28515625" customWidth="1"/>
    <col min="14597" max="14597" width="21" customWidth="1"/>
    <col min="14849" max="14849" width="9.28515625" bestFit="1" customWidth="1"/>
    <col min="14850" max="14850" width="50.85546875" customWidth="1"/>
    <col min="14851" max="14852" width="18.28515625" customWidth="1"/>
    <col min="14853" max="14853" width="21" customWidth="1"/>
    <col min="15105" max="15105" width="9.28515625" bestFit="1" customWidth="1"/>
    <col min="15106" max="15106" width="50.85546875" customWidth="1"/>
    <col min="15107" max="15108" width="18.28515625" customWidth="1"/>
    <col min="15109" max="15109" width="21" customWidth="1"/>
    <col min="15361" max="15361" width="9.28515625" bestFit="1" customWidth="1"/>
    <col min="15362" max="15362" width="50.85546875" customWidth="1"/>
    <col min="15363" max="15364" width="18.28515625" customWidth="1"/>
    <col min="15365" max="15365" width="21" customWidth="1"/>
    <col min="15617" max="15617" width="9.28515625" bestFit="1" customWidth="1"/>
    <col min="15618" max="15618" width="50.85546875" customWidth="1"/>
    <col min="15619" max="15620" width="18.28515625" customWidth="1"/>
    <col min="15621" max="15621" width="21" customWidth="1"/>
    <col min="15873" max="15873" width="9.28515625" bestFit="1" customWidth="1"/>
    <col min="15874" max="15874" width="50.85546875" customWidth="1"/>
    <col min="15875" max="15876" width="18.28515625" customWidth="1"/>
    <col min="15877" max="15877" width="21" customWidth="1"/>
    <col min="16129" max="16129" width="9.28515625" bestFit="1" customWidth="1"/>
    <col min="16130" max="16130" width="50.85546875" customWidth="1"/>
    <col min="16131" max="16132" width="18.28515625" customWidth="1"/>
    <col min="16133" max="16133" width="21" customWidth="1"/>
  </cols>
  <sheetData>
    <row r="1" spans="1:8" x14ac:dyDescent="0.25">
      <c r="A1" s="275"/>
      <c r="B1" s="275"/>
      <c r="C1" s="264"/>
      <c r="D1" s="264"/>
      <c r="E1" s="264"/>
      <c r="F1" s="264" t="s">
        <v>382</v>
      </c>
      <c r="G1" s="264"/>
      <c r="H1" s="21"/>
    </row>
    <row r="2" spans="1:8" s="145" customFormat="1" ht="18" x14ac:dyDescent="0.25">
      <c r="A2" s="544" t="s">
        <v>279</v>
      </c>
      <c r="B2" s="544"/>
      <c r="C2" s="544"/>
      <c r="D2" s="544"/>
      <c r="E2" s="544"/>
      <c r="F2" s="144"/>
      <c r="G2" s="144"/>
      <c r="H2" s="144"/>
    </row>
    <row r="3" spans="1:8" x14ac:dyDescent="0.25">
      <c r="A3" s="275"/>
      <c r="B3" s="275"/>
      <c r="C3" s="264"/>
      <c r="D3" s="264"/>
      <c r="E3" s="264"/>
      <c r="F3" s="264"/>
      <c r="G3" s="264"/>
      <c r="H3" s="21"/>
    </row>
    <row r="4" spans="1:8" ht="16.5" x14ac:dyDescent="0.25">
      <c r="A4" s="182"/>
      <c r="B4" s="182"/>
      <c r="C4" s="182"/>
      <c r="D4" s="182"/>
      <c r="E4" s="182"/>
      <c r="F4" s="182"/>
      <c r="G4" s="182"/>
      <c r="H4" s="21"/>
    </row>
    <row r="5" spans="1:8" ht="18" x14ac:dyDescent="0.25">
      <c r="A5" s="276"/>
      <c r="B5" s="276"/>
      <c r="C5" s="146"/>
      <c r="D5" s="146"/>
      <c r="E5" s="146"/>
      <c r="F5" s="146"/>
      <c r="G5" s="146"/>
      <c r="H5" s="21"/>
    </row>
    <row r="6" spans="1:8" x14ac:dyDescent="0.25">
      <c r="A6" s="270"/>
      <c r="B6" s="270"/>
      <c r="C6" s="271"/>
      <c r="D6" s="271"/>
      <c r="E6" s="271"/>
      <c r="F6" s="271"/>
      <c r="G6" s="271"/>
      <c r="H6" s="147"/>
    </row>
    <row r="7" spans="1:8" x14ac:dyDescent="0.25">
      <c r="A7" s="545" t="s">
        <v>216</v>
      </c>
      <c r="B7" s="548" t="s">
        <v>280</v>
      </c>
      <c r="C7" s="551" t="s">
        <v>5</v>
      </c>
      <c r="D7" s="551" t="s">
        <v>6</v>
      </c>
      <c r="E7" s="551" t="s">
        <v>219</v>
      </c>
      <c r="F7" s="532"/>
      <c r="G7" s="532"/>
      <c r="H7" s="532"/>
    </row>
    <row r="8" spans="1:8" x14ac:dyDescent="0.25">
      <c r="A8" s="546"/>
      <c r="B8" s="549"/>
      <c r="C8" s="551"/>
      <c r="D8" s="551"/>
      <c r="E8" s="551"/>
      <c r="F8" s="532"/>
      <c r="G8" s="268"/>
      <c r="H8" s="532"/>
    </row>
    <row r="9" spans="1:8" x14ac:dyDescent="0.25">
      <c r="A9" s="546"/>
      <c r="B9" s="549"/>
      <c r="C9" s="551"/>
      <c r="D9" s="551"/>
      <c r="E9" s="551"/>
      <c r="F9" s="532"/>
      <c r="G9" s="532"/>
      <c r="H9" s="532"/>
    </row>
    <row r="10" spans="1:8" x14ac:dyDescent="0.25">
      <c r="A10" s="547"/>
      <c r="B10" s="550"/>
      <c r="C10" s="551"/>
      <c r="D10" s="551"/>
      <c r="E10" s="551"/>
      <c r="F10" s="532"/>
      <c r="G10" s="532"/>
      <c r="H10" s="532"/>
    </row>
    <row r="11" spans="1:8" x14ac:dyDescent="0.25">
      <c r="A11" s="93">
        <v>1</v>
      </c>
      <c r="B11" s="93">
        <v>2</v>
      </c>
      <c r="C11" s="148">
        <v>3</v>
      </c>
      <c r="D11" s="148">
        <v>3</v>
      </c>
      <c r="E11" s="148">
        <v>3</v>
      </c>
      <c r="F11" s="149"/>
      <c r="G11" s="149"/>
      <c r="H11" s="149"/>
    </row>
    <row r="12" spans="1:8" s="152" customFormat="1" x14ac:dyDescent="0.2">
      <c r="A12" s="277">
        <v>1</v>
      </c>
      <c r="B12" s="278" t="s">
        <v>281</v>
      </c>
      <c r="C12" s="279">
        <v>275000</v>
      </c>
      <c r="D12" s="279">
        <v>275000</v>
      </c>
      <c r="E12" s="280">
        <f>D12/C12*100</f>
        <v>100</v>
      </c>
      <c r="F12" s="150"/>
      <c r="G12" s="150"/>
      <c r="H12" s="151"/>
    </row>
    <row r="13" spans="1:8" s="152" customFormat="1" x14ac:dyDescent="0.2">
      <c r="A13" s="281">
        <v>2</v>
      </c>
      <c r="B13" s="282" t="s">
        <v>282</v>
      </c>
      <c r="C13" s="279">
        <v>4793706.57</v>
      </c>
      <c r="D13" s="279">
        <v>4748636.05</v>
      </c>
      <c r="E13" s="280">
        <f>D13/C13*100</f>
        <v>99.059798105247808</v>
      </c>
      <c r="F13" s="150"/>
      <c r="G13" s="150"/>
      <c r="H13" s="151"/>
    </row>
    <row r="14" spans="1:8" s="152" customFormat="1" x14ac:dyDescent="0.2">
      <c r="A14" s="281">
        <v>3</v>
      </c>
      <c r="B14" s="282" t="s">
        <v>283</v>
      </c>
      <c r="C14" s="279">
        <v>4793706.57</v>
      </c>
      <c r="D14" s="279">
        <v>4379511.6100000003</v>
      </c>
      <c r="E14" s="280">
        <f>D14/C14*100</f>
        <v>91.359609647530021</v>
      </c>
      <c r="F14" s="150"/>
      <c r="G14" s="150"/>
      <c r="H14" s="151"/>
    </row>
    <row r="15" spans="1:8" s="152" customFormat="1" x14ac:dyDescent="0.2">
      <c r="A15" s="281">
        <v>4</v>
      </c>
      <c r="B15" s="282" t="s">
        <v>284</v>
      </c>
      <c r="C15" s="279">
        <v>275000</v>
      </c>
      <c r="D15" s="279">
        <v>275000</v>
      </c>
      <c r="E15" s="280">
        <f>D15/C15*100</f>
        <v>100</v>
      </c>
      <c r="F15" s="150"/>
      <c r="G15" s="150"/>
      <c r="H15" s="151"/>
    </row>
    <row r="16" spans="1:8" hidden="1" x14ac:dyDescent="0.25">
      <c r="A16" s="153"/>
      <c r="B16" s="154"/>
      <c r="C16" s="155"/>
      <c r="D16" s="155"/>
      <c r="E16" s="155"/>
      <c r="F16" s="156"/>
      <c r="G16" s="156"/>
      <c r="H16" s="157"/>
    </row>
    <row r="17" spans="1:8" hidden="1" x14ac:dyDescent="0.25">
      <c r="A17" s="158"/>
      <c r="B17" s="159"/>
      <c r="C17" s="160"/>
      <c r="D17" s="160"/>
      <c r="E17" s="160"/>
      <c r="F17" s="156"/>
      <c r="G17" s="156"/>
      <c r="H17" s="157"/>
    </row>
    <row r="18" spans="1:8" s="45" customFormat="1" x14ac:dyDescent="0.25">
      <c r="A18" s="543"/>
      <c r="B18" s="543"/>
      <c r="C18" s="161"/>
      <c r="D18" s="161"/>
      <c r="E18" s="161"/>
      <c r="F18" s="162"/>
      <c r="G18" s="162"/>
      <c r="H18" s="162"/>
    </row>
  </sheetData>
  <mergeCells count="11">
    <mergeCell ref="H7:H10"/>
    <mergeCell ref="F8:F10"/>
    <mergeCell ref="G9:G10"/>
    <mergeCell ref="A18:B18"/>
    <mergeCell ref="A2:E2"/>
    <mergeCell ref="A7:A10"/>
    <mergeCell ref="B7:B10"/>
    <mergeCell ref="C7:C10"/>
    <mergeCell ref="D7:D10"/>
    <mergeCell ref="E7:E10"/>
    <mergeCell ref="F7:G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Zał. Nr 1</vt:lpstr>
      <vt:lpstr>Zał. Nr 2</vt:lpstr>
      <vt:lpstr>Zał. Nr 2a</vt:lpstr>
      <vt:lpstr>Zał. Nr 2b</vt:lpstr>
      <vt:lpstr>Zał. Nr 3</vt:lpstr>
      <vt:lpstr>Zał. Nr 4</vt:lpstr>
      <vt:lpstr>Zał. Nr 5</vt:lpstr>
      <vt:lpstr>Zał. Nr 6</vt:lpstr>
      <vt:lpstr>Zał. Nr 7</vt:lpstr>
      <vt:lpstr>Zał. Nr 8</vt:lpstr>
      <vt:lpstr>Zał. Nr 9</vt:lpstr>
      <vt:lpstr>Zał. Nr 10</vt:lpstr>
      <vt:lpstr>'Zał. Nr 1'!Obszar_wydruku</vt:lpstr>
      <vt:lpstr>'Zał. Nr 10'!Obszar_wydruku</vt:lpstr>
      <vt:lpstr>'Zał. Nr 2'!Obszar_wydruku</vt:lpstr>
      <vt:lpstr>'Zał. Nr 6'!Obszar_wydruku</vt:lpstr>
      <vt:lpstr>'Zał. Nr 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</dc:creator>
  <cp:lastModifiedBy>Sylwia</cp:lastModifiedBy>
  <cp:lastPrinted>2023-04-03T07:15:53Z</cp:lastPrinted>
  <dcterms:created xsi:type="dcterms:W3CDTF">2016-07-11T11:24:51Z</dcterms:created>
  <dcterms:modified xsi:type="dcterms:W3CDTF">2023-04-03T07:29:51Z</dcterms:modified>
</cp:coreProperties>
</file>